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defaultThemeVersion="166925"/>
  <mc:AlternateContent xmlns:mc="http://schemas.openxmlformats.org/markup-compatibility/2006">
    <mc:Choice Requires="x15">
      <x15ac:absPath xmlns:x15ac="http://schemas.microsoft.com/office/spreadsheetml/2010/11/ac" url="M:\Regnskap\2019\2019.03.31\Delårsrapport Q1 2019\"/>
    </mc:Choice>
  </mc:AlternateContent>
  <xr:revisionPtr revIDLastSave="0" documentId="13_ncr:1_{9E780392-D33D-4B20-9381-DD257DB383D2}" xr6:coauthVersionLast="43" xr6:coauthVersionMax="43" xr10:uidLastSave="{00000000-0000-0000-0000-000000000000}"/>
  <bookViews>
    <workbookView xWindow="38280" yWindow="-120" windowWidth="38640" windowHeight="21840" xr2:uid="{3D474F61-7E60-4309-B9CE-FF31680169AE}"/>
  </bookViews>
  <sheets>
    <sheet name="APM" sheetId="3" r:id="rId1"/>
    <sheet name="APM avstemming"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94" i="2" l="1"/>
  <c r="I90" i="2"/>
  <c r="I87" i="2"/>
  <c r="I81" i="2"/>
  <c r="I78" i="2"/>
  <c r="I23" i="2"/>
  <c r="C23" i="2"/>
  <c r="B87" i="2" l="1"/>
  <c r="B90" i="2"/>
  <c r="B89" i="2"/>
  <c r="B81" i="2"/>
  <c r="B78" i="2" l="1"/>
  <c r="B94" i="2" l="1"/>
  <c r="B65" i="2" l="1"/>
  <c r="B64" i="2"/>
  <c r="B63" i="2"/>
  <c r="B62" i="2"/>
  <c r="B61" i="2"/>
  <c r="B60" i="2"/>
  <c r="I112" i="2" l="1"/>
  <c r="I56" i="2" l="1"/>
  <c r="B56" i="2"/>
  <c r="I50" i="2"/>
  <c r="B50" i="2"/>
  <c r="I72" i="2"/>
  <c r="I73" i="2" s="1"/>
  <c r="I101" i="2"/>
  <c r="B101" i="2"/>
  <c r="A169" i="2"/>
  <c r="C167" i="2"/>
  <c r="B167" i="2"/>
  <c r="B12" i="2"/>
  <c r="B11" i="2"/>
  <c r="I11" i="2"/>
  <c r="I10" i="2"/>
  <c r="B10" i="2"/>
  <c r="B6" i="2"/>
  <c r="I125" i="2" l="1"/>
  <c r="I113" i="2"/>
  <c r="I108" i="2"/>
  <c r="I103" i="2"/>
  <c r="I96" i="2"/>
  <c r="I91" i="2"/>
  <c r="I82" i="2"/>
  <c r="I67" i="2"/>
  <c r="I66" i="2"/>
  <c r="I57" i="2"/>
  <c r="I51" i="2"/>
  <c r="I45" i="2"/>
  <c r="I39" i="2"/>
  <c r="I34" i="2"/>
  <c r="I29" i="2"/>
  <c r="I17" i="2"/>
  <c r="I7" i="2"/>
  <c r="I12" i="2" s="1"/>
  <c r="B125" i="2"/>
  <c r="B103" i="2"/>
  <c r="B96" i="2"/>
  <c r="B91" i="2"/>
  <c r="B82" i="2"/>
  <c r="B67" i="2"/>
  <c r="B66" i="2"/>
  <c r="B57" i="2"/>
  <c r="B51" i="2"/>
  <c r="B45" i="2"/>
  <c r="B39" i="2"/>
  <c r="B17" i="2"/>
  <c r="B7" i="2"/>
  <c r="M45" i="2" l="1"/>
  <c r="L45" i="2"/>
  <c r="K45" i="2"/>
  <c r="J45" i="2"/>
  <c r="D45" i="2"/>
  <c r="E45" i="2"/>
  <c r="F45" i="2"/>
  <c r="G45" i="2"/>
  <c r="C45" i="2"/>
  <c r="G67" i="2" l="1"/>
  <c r="G66" i="2"/>
  <c r="N10" i="2" l="1"/>
  <c r="N6" i="2"/>
  <c r="N7" i="2" s="1"/>
  <c r="N12" i="2" s="1"/>
  <c r="C72" i="2"/>
  <c r="G73" i="2"/>
  <c r="M6" i="2" l="1"/>
  <c r="M7" i="2" s="1"/>
  <c r="L6" i="2"/>
  <c r="L7" i="2" s="1"/>
  <c r="K6" i="2"/>
  <c r="K7" i="2" s="1"/>
  <c r="J6" i="2"/>
  <c r="J7" i="2" s="1"/>
  <c r="G6" i="2"/>
  <c r="G7" i="2" s="1"/>
  <c r="F6" i="2"/>
  <c r="F7" i="2" s="1"/>
  <c r="E6" i="2"/>
  <c r="E7" i="2" s="1"/>
  <c r="D6" i="2"/>
  <c r="D7" i="2" s="1"/>
  <c r="C6" i="2"/>
  <c r="C7" i="2" s="1"/>
  <c r="D125" i="2" l="1"/>
  <c r="E125" i="2"/>
  <c r="F125" i="2"/>
  <c r="G125" i="2"/>
  <c r="J125" i="2"/>
  <c r="K125" i="2"/>
  <c r="L125" i="2"/>
  <c r="M125" i="2"/>
  <c r="C125" i="2"/>
  <c r="G118" i="2"/>
  <c r="C118" i="2"/>
  <c r="M101" i="2"/>
  <c r="M103" i="2" s="1"/>
  <c r="M112" i="2" s="1"/>
  <c r="M113" i="2" s="1"/>
  <c r="L101" i="2"/>
  <c r="L103" i="2" s="1"/>
  <c r="L112" i="2" s="1"/>
  <c r="L113" i="2" s="1"/>
  <c r="K101" i="2"/>
  <c r="K103" i="2" s="1"/>
  <c r="K112" i="2" s="1"/>
  <c r="K113" i="2" s="1"/>
  <c r="J101" i="2"/>
  <c r="J103" i="2" s="1"/>
  <c r="J112" i="2" s="1"/>
  <c r="J113" i="2" s="1"/>
  <c r="G101" i="2"/>
  <c r="G103" i="2" s="1"/>
  <c r="G112" i="2" s="1"/>
  <c r="G113" i="2" s="1"/>
  <c r="F101" i="2"/>
  <c r="F103" i="2" s="1"/>
  <c r="F112" i="2" s="1"/>
  <c r="F113" i="2" s="1"/>
  <c r="E101" i="2"/>
  <c r="E103" i="2" s="1"/>
  <c r="E112" i="2" s="1"/>
  <c r="E113" i="2" s="1"/>
  <c r="D101" i="2"/>
  <c r="D103" i="2" s="1"/>
  <c r="D112" i="2" s="1"/>
  <c r="D113" i="2" s="1"/>
  <c r="C101" i="2"/>
  <c r="C103" i="2" s="1"/>
  <c r="C112" i="2" s="1"/>
  <c r="C113" i="2" s="1"/>
  <c r="M90" i="2"/>
  <c r="L90" i="2"/>
  <c r="K90" i="2"/>
  <c r="J90" i="2"/>
  <c r="M87" i="2"/>
  <c r="L87" i="2"/>
  <c r="K87" i="2"/>
  <c r="J87" i="2"/>
  <c r="M81" i="2"/>
  <c r="L81" i="2"/>
  <c r="K81" i="2"/>
  <c r="J81" i="2"/>
  <c r="M78" i="2"/>
  <c r="L78" i="2"/>
  <c r="K78" i="2"/>
  <c r="J78" i="2"/>
  <c r="J82" i="2" l="1"/>
  <c r="J91" i="2"/>
  <c r="K91" i="2"/>
  <c r="K82" i="2"/>
  <c r="L82" i="2"/>
  <c r="L91" i="2"/>
  <c r="M82" i="2"/>
  <c r="M91" i="2"/>
  <c r="G90" i="2"/>
  <c r="F90" i="2"/>
  <c r="E90" i="2"/>
  <c r="D90" i="2"/>
  <c r="C90" i="2"/>
  <c r="G87" i="2"/>
  <c r="F87" i="2"/>
  <c r="E87" i="2"/>
  <c r="D87" i="2"/>
  <c r="C87" i="2"/>
  <c r="D81" i="2"/>
  <c r="E81" i="2"/>
  <c r="F81" i="2"/>
  <c r="G81" i="2"/>
  <c r="D78" i="2"/>
  <c r="D82" i="2" s="1"/>
  <c r="E78" i="2"/>
  <c r="E82" i="2" s="1"/>
  <c r="F78" i="2"/>
  <c r="G78" i="2"/>
  <c r="F91" i="2" l="1"/>
  <c r="G82" i="2"/>
  <c r="F82" i="2"/>
  <c r="E91" i="2"/>
  <c r="G91" i="2"/>
  <c r="D91" i="2"/>
  <c r="C91" i="2"/>
  <c r="C81" i="2" l="1"/>
  <c r="C78" i="2"/>
  <c r="C82" i="2" s="1"/>
  <c r="J72" i="2" l="1"/>
  <c r="J73" i="2" s="1"/>
  <c r="C73" i="2"/>
  <c r="K72" i="2"/>
  <c r="K73" i="2" s="1"/>
  <c r="L72" i="2"/>
  <c r="L73" i="2" s="1"/>
  <c r="M73" i="2"/>
  <c r="D66" i="2"/>
  <c r="E66" i="2"/>
  <c r="F66" i="2"/>
  <c r="J66" i="2"/>
  <c r="K66" i="2"/>
  <c r="L66" i="2"/>
  <c r="M66" i="2"/>
  <c r="D67" i="2"/>
  <c r="E67" i="2"/>
  <c r="F67" i="2"/>
  <c r="J67" i="2"/>
  <c r="K67" i="2"/>
  <c r="L67" i="2"/>
  <c r="M67" i="2"/>
  <c r="C67" i="2"/>
  <c r="C66" i="2"/>
  <c r="M56" i="2" l="1"/>
  <c r="M57" i="2" s="1"/>
  <c r="L56" i="2"/>
  <c r="L57" i="2" s="1"/>
  <c r="K56" i="2"/>
  <c r="K57" i="2" s="1"/>
  <c r="J56" i="2"/>
  <c r="J57" i="2" s="1"/>
  <c r="G56" i="2"/>
  <c r="G57" i="2" s="1"/>
  <c r="F56" i="2"/>
  <c r="F57" i="2" s="1"/>
  <c r="E56" i="2"/>
  <c r="E57" i="2" s="1"/>
  <c r="D56" i="2"/>
  <c r="D57" i="2" s="1"/>
  <c r="C56" i="2"/>
  <c r="C57" i="2" s="1"/>
  <c r="M50" i="2"/>
  <c r="M51" i="2" s="1"/>
  <c r="L50" i="2"/>
  <c r="L51" i="2" s="1"/>
  <c r="K50" i="2"/>
  <c r="K51" i="2" s="1"/>
  <c r="J50" i="2"/>
  <c r="J51" i="2" s="1"/>
  <c r="D50" i="2"/>
  <c r="D51" i="2" s="1"/>
  <c r="E50" i="2"/>
  <c r="E51" i="2" s="1"/>
  <c r="F50" i="2"/>
  <c r="F51" i="2" s="1"/>
  <c r="G50" i="2"/>
  <c r="G51" i="2" s="1"/>
  <c r="C50" i="2"/>
  <c r="C51" i="2" s="1"/>
  <c r="M39" i="2"/>
  <c r="L39" i="2"/>
  <c r="K39" i="2"/>
  <c r="J39" i="2"/>
  <c r="D39" i="2"/>
  <c r="E39" i="2"/>
  <c r="F39" i="2"/>
  <c r="G39" i="2"/>
  <c r="C39" i="2"/>
  <c r="G29" i="2" l="1"/>
  <c r="G33" i="2" s="1"/>
  <c r="G23" i="2"/>
  <c r="G32" i="2" s="1"/>
  <c r="G34" i="2" l="1"/>
  <c r="M29" i="2" l="1"/>
  <c r="M33" i="2" s="1"/>
  <c r="L29" i="2"/>
  <c r="L33" i="2" s="1"/>
  <c r="K29" i="2"/>
  <c r="K33" i="2" s="1"/>
  <c r="J29" i="2"/>
  <c r="J33" i="2" s="1"/>
  <c r="C29" i="2"/>
  <c r="C33" i="2" s="1"/>
  <c r="J23" i="2"/>
  <c r="J32" i="2" s="1"/>
  <c r="K23" i="2"/>
  <c r="K32" i="2" s="1"/>
  <c r="L23" i="2"/>
  <c r="L32" i="2" s="1"/>
  <c r="M23" i="2"/>
  <c r="M32" i="2" s="1"/>
  <c r="C32" i="2"/>
  <c r="L34" i="2" l="1"/>
  <c r="M34" i="2"/>
  <c r="J34" i="2"/>
  <c r="K34" i="2"/>
  <c r="C34" i="2"/>
  <c r="M10" i="2" l="1"/>
  <c r="L10" i="2"/>
  <c r="K10" i="2"/>
  <c r="J10" i="2"/>
  <c r="J94" i="2"/>
  <c r="J96" i="2" s="1"/>
  <c r="J107" i="2" s="1"/>
  <c r="J108" i="2" s="1"/>
  <c r="K94" i="2"/>
  <c r="K96" i="2" s="1"/>
  <c r="K107" i="2" s="1"/>
  <c r="K108" i="2" s="1"/>
  <c r="L94" i="2"/>
  <c r="L96" i="2" s="1"/>
  <c r="L107" i="2" s="1"/>
  <c r="L108" i="2" s="1"/>
  <c r="M94" i="2"/>
  <c r="M96" i="2" s="1"/>
  <c r="M107" i="2" s="1"/>
  <c r="M108" i="2" s="1"/>
  <c r="D10" i="2"/>
  <c r="E10" i="2"/>
  <c r="F10" i="2"/>
  <c r="G10" i="2"/>
  <c r="C10" i="2"/>
  <c r="D94" i="2"/>
  <c r="D96" i="2" s="1"/>
  <c r="E94" i="2"/>
  <c r="E96" i="2" s="1"/>
  <c r="F94" i="2"/>
  <c r="F96" i="2" s="1"/>
  <c r="G12" i="2"/>
  <c r="K17" i="2"/>
  <c r="L17" i="2"/>
  <c r="M17" i="2"/>
  <c r="J17" i="2"/>
  <c r="D17" i="2"/>
  <c r="E17" i="2"/>
  <c r="F17" i="2"/>
  <c r="G17" i="2"/>
  <c r="C17" i="2"/>
  <c r="G94" i="2" l="1"/>
  <c r="G96" i="2" s="1"/>
  <c r="G107" i="2" s="1"/>
  <c r="G108" i="2" s="1"/>
  <c r="G119" i="2"/>
  <c r="G120" i="2" s="1"/>
  <c r="C94" i="2"/>
  <c r="C96" i="2" s="1"/>
  <c r="C107" i="2" s="1"/>
  <c r="C108" i="2" s="1"/>
  <c r="C119" i="2"/>
  <c r="C120" i="2" s="1"/>
  <c r="D11" i="2"/>
  <c r="D12" i="2" s="1"/>
  <c r="C11" i="2"/>
  <c r="C12" i="2" s="1"/>
  <c r="E11" i="2"/>
  <c r="E12" i="2" s="1"/>
  <c r="F11" i="2"/>
  <c r="F12" i="2" s="1"/>
  <c r="J11" i="2"/>
  <c r="J12" i="2" s="1"/>
  <c r="M11" i="2"/>
  <c r="M12" i="2" s="1"/>
  <c r="L11" i="2"/>
  <c r="L12" i="2" s="1"/>
  <c r="K11" i="2"/>
  <c r="K12" i="2" s="1"/>
</calcChain>
</file>

<file path=xl/sharedStrings.xml><?xml version="1.0" encoding="utf-8"?>
<sst xmlns="http://schemas.openxmlformats.org/spreadsheetml/2006/main" count="189" uniqueCount="137">
  <si>
    <t>Alternative resultatmål</t>
  </si>
  <si>
    <t>Egenkapitalavkastning etter skatt</t>
  </si>
  <si>
    <t>Utlånsvekst</t>
  </si>
  <si>
    <t>Utdelingsbrøk utbytte</t>
  </si>
  <si>
    <t>Utlånsmargin</t>
  </si>
  <si>
    <t>Innskuddsmargin</t>
  </si>
  <si>
    <t>Netto rentemargin</t>
  </si>
  <si>
    <t>Netto tapsutsatte kredittengasjementer av brutto utlån</t>
  </si>
  <si>
    <t>Netto misligholdte kredittengasjementer av brutto utlån</t>
  </si>
  <si>
    <t>Andel fastrenteinnskudd</t>
  </si>
  <si>
    <t>Innskuddsdekning</t>
  </si>
  <si>
    <t>Overskuddslikviditet</t>
  </si>
  <si>
    <t>Resultat tilordnet aksjonærer pr. aksje</t>
  </si>
  <si>
    <t>Aksjonærenes egenkapital pr. aksje</t>
  </si>
  <si>
    <t>Nedskrivinger og tap</t>
  </si>
  <si>
    <t>Resultattall</t>
  </si>
  <si>
    <t>Balansetall</t>
  </si>
  <si>
    <t>Aksjerelaterte nøkkeltall</t>
  </si>
  <si>
    <t>Pris / inntjening</t>
  </si>
  <si>
    <t>Pris / bokført egenkapital</t>
  </si>
  <si>
    <t>Kostnadsbrøk</t>
  </si>
  <si>
    <t>Egenkapital i % av forvaltningskapital</t>
  </si>
  <si>
    <t>Gjennomsnittlig forvaltningskapital i perioden</t>
  </si>
  <si>
    <t>Innskuddsvekst siste 12 måneder</t>
  </si>
  <si>
    <t>Kostnadsprosent</t>
  </si>
  <si>
    <t>Sum driftskostnader før nedskrivinger og tap</t>
  </si>
  <si>
    <t>Sum inntekter</t>
  </si>
  <si>
    <t>Q3-18</t>
  </si>
  <si>
    <t>Q2-18</t>
  </si>
  <si>
    <t>Q1-18</t>
  </si>
  <si>
    <t>Q4-17</t>
  </si>
  <si>
    <t>(NOK 1000)</t>
  </si>
  <si>
    <t>Egenskapitalavkastning etter skatt</t>
  </si>
  <si>
    <t>Totalresultat for perioden</t>
  </si>
  <si>
    <t>Renter fondsobligasjon</t>
  </si>
  <si>
    <t>Aksjonærenes andel av resultatet etter skatt</t>
  </si>
  <si>
    <t>Egenkapital</t>
  </si>
  <si>
    <t>Fondsobligasjonslån</t>
  </si>
  <si>
    <t>Egenkapital ekskl. hybridkapital</t>
  </si>
  <si>
    <t xml:space="preserve">Bidrag utlån </t>
  </si>
  <si>
    <t>Gjennomsnittlig egenkapital ekskl. hybridkapital (pr kvartal)</t>
  </si>
  <si>
    <t>Gjennomsnitt utlån til kunder (pr dag)</t>
  </si>
  <si>
    <t>Gjennomsnitt Nibor 3 mnd (pr måned)</t>
  </si>
  <si>
    <t>Bidrag innskudd</t>
  </si>
  <si>
    <t>Gjennomsnitt innskudd fra kunder (pr dag)</t>
  </si>
  <si>
    <t>Innskudd fra kunder</t>
  </si>
  <si>
    <t>Utlån til kunder</t>
  </si>
  <si>
    <t>Kontanter og fordringer på sentralbanker</t>
  </si>
  <si>
    <t>Utlån og fordringer på kredittinstitusjoner</t>
  </si>
  <si>
    <t xml:space="preserve">Sertifikater og obligasjoner </t>
  </si>
  <si>
    <t>Utlånsvekst siste 12 måneder</t>
  </si>
  <si>
    <t>Innskuddsvekst</t>
  </si>
  <si>
    <t>Pt innskudd privat</t>
  </si>
  <si>
    <t>Plasseringskonto</t>
  </si>
  <si>
    <t>Klientmidler</t>
  </si>
  <si>
    <t>Fastrenteinnskudd (ekskl. påløpte renter)</t>
  </si>
  <si>
    <t>Totalt (ekskl. påløpte renter)</t>
  </si>
  <si>
    <t>Pt innskudd bedrift</t>
  </si>
  <si>
    <t>Andel plasseringskonto</t>
  </si>
  <si>
    <t>Andel  plasseringskonto med likviditetsbinding</t>
  </si>
  <si>
    <t>Andel fastrenteinnskudd &amp; plasseringskonto med likviditetsbinding</t>
  </si>
  <si>
    <t>Nedskrivninger og tap på utlån og garantier</t>
  </si>
  <si>
    <t>Utlån til kunder -12 måneder</t>
  </si>
  <si>
    <t>Gjennomsnittlig utlån til kunder (pr år/kvartal)</t>
  </si>
  <si>
    <t>Brutto misligholdte kredittengasjementer</t>
  </si>
  <si>
    <t>Nedskrivinger på misligholde kredittengasjementer</t>
  </si>
  <si>
    <t>Netto misligholdte kredittengasjementer</t>
  </si>
  <si>
    <t>Nedskrivinger på utlån til kunder</t>
  </si>
  <si>
    <t>Brutto utlån til kunder</t>
  </si>
  <si>
    <t>Brutto tapsutsatte ikke misligholdte kredittengasjementer</t>
  </si>
  <si>
    <t>Nedskrivinger på tapsutsatte kredittengasjementer</t>
  </si>
  <si>
    <t>Netto tapsutsatte kredittengasjementer</t>
  </si>
  <si>
    <t>Antall aksjer</t>
  </si>
  <si>
    <t>Resultat tilordnet aksjonærer pr. aksje (NOK)</t>
  </si>
  <si>
    <t>Aksjonærenes egenkapital pr. aksje (NOK)</t>
  </si>
  <si>
    <t>Aksjekurs (NOK)</t>
  </si>
  <si>
    <t>Resultat per aksje (NOK)</t>
  </si>
  <si>
    <t>Utbytte pr. aksjer (NOK)</t>
  </si>
  <si>
    <t>Antall askjer</t>
  </si>
  <si>
    <t>Utbytte (NOK 1000)</t>
  </si>
  <si>
    <t>Eiendeler / forvaltningskapital</t>
  </si>
  <si>
    <t>Netto rentemargin er definert som differansen mellom bankens utlånsmargin og innskuddsmargin (se definisjonene over).</t>
  </si>
  <si>
    <t>Netto rentemargin er et nyttig mål for å vise den underliggende lønnsomheten i bankens drift. Utlånsrente og innskuddsrente er de primære kildene for hhv. bankens inntekter og kostnader. Utviklingen i netto rentemargin over tid gir en forståelse for utviklingen i bankens inntekter og kostnader utenom poster som kan variere over tid, som gevinster på finansielle instrumenter, inntekter fra tilknyttede selskaper eller nedskrivinger og tap.</t>
  </si>
  <si>
    <t>Nedskrivings- og tapsprosent</t>
  </si>
  <si>
    <t>Nedskrivings- og tapsprosent er en indikator på kvaliteten i bankens utlånsportefølje og bankens evne til å vurdere kredittrisiko over tid.</t>
  </si>
  <si>
    <t>Alternative resultatmål (APM) for Pareto Bank ASA</t>
  </si>
  <si>
    <t>Definisjon og begrunnelse for bruk av resultatmålet</t>
  </si>
  <si>
    <t xml:space="preserve">Innskuddsvekst siste 12 måneder er definert som differansen i prosent mellom innskudd fra kunder fra gjeldende tidspunkt og for 12 måneder siden. </t>
  </si>
  <si>
    <t>Andel fastrenteinnskudd forteller hvor mye av innskuddsmassen har en likviditets- og rentebinding. En større andel likviditetsbinding vil kunne indikere redusert sannsynlighet for bortfall av innskudd. Rentebindingen vil si at rentekostnaden for den type innskudd vil ligge fast over innskuddets løpetid.</t>
  </si>
  <si>
    <t>Andel plasseringskonto forteller hvor mye av innskuddsmassen har en likviditetsbinding i tillegg til fastrenteinnskudd. En større andel likviditetsbinding vil kunne indikere redusert sannsynlighet for bortfall av innskudd.</t>
  </si>
  <si>
    <t xml:space="preserve">Aksjonærenes egenkapital pr. aksje er definert som bankens egenkapital eksklusiv hybridkapital delt på antall aksjer. </t>
  </si>
  <si>
    <t xml:space="preserve">Pris / inntjening er en brøk definert som aksjekursen i NOK delt på resultat per aksje (se definisjonen over). </t>
  </si>
  <si>
    <t>Denne brøken heter ofte "Price/Book" og er et utbredt nøkkeltal brukt for å vurdere om aksjen er over- eller underpriset i forhold til bankens balanse. Tallet er egnet til å sammenligne prising av aksjen mellom selskaper.</t>
  </si>
  <si>
    <t>Denne brøken heter ofte "Price/Earnings" og er et utbredt nøkkeltal brukt for å vurdere hvor mye fremtidig inntjening er priset inn i aksjens kurs. Tallet er egnet til å sammenligne lønnsomhet og prising av aksjen mellom selskaper.</t>
  </si>
  <si>
    <t>Innskuddsdekning er et av flere mål på bankens likviditet. Innskudd er en stabil og langsiktig innskuddskilde og tallet gir informasjon om hvor mye av bankens finansiering kommer fra innskudd i motsetning til andre kilder. Ved å uttrykke innskudd i forhold til utlån kan tallet sammenlignes med andre perioder.</t>
  </si>
  <si>
    <t>Andel fastrenteinnskudd er definert som andelen fastrenteinnskudd eksklusiv påløpte renter over samlet innskuddsvolum eksklusiv påløpte renter. Tallet kan ikke avstemmes fra bankens perioderegnskap.</t>
  </si>
  <si>
    <t>Innvilgede kredittrammer</t>
  </si>
  <si>
    <t>Spart skatt på renter fondsobligasjon</t>
  </si>
  <si>
    <t xml:space="preserve">NB! Tall med blå bakgrunn er omarbeidet </t>
  </si>
  <si>
    <t>Q4-18*</t>
  </si>
  <si>
    <t>*) Q4-18 er revidert ihht endelig årsregnskap for 2018</t>
  </si>
  <si>
    <t>Innskudd fra kunder -12 måneder</t>
  </si>
  <si>
    <t>Pareto Bank presenterer alternative resultatmål (APM'er) som gir nyttig informasjon for å supplere regnskapet. Målene er ikke definert i IFRS (International Financial Reporting Standards) og er nødvendigvis ikke direkte sammenlignbare med andre selskapers resultatmål. APM'er er inkludert i bankens rapporter for å gi innsikt og forståelse for bankens resultatoppnåelse, og er ikke ment å erstatte eller overskygge regnskapstallene. Enkelte APM'er, som egenkapitalavkastning og utlånsvekst, er brukt i bankens guiding. Nøkkeltall som er regulert i IFRS eller annen lovgiving (f.eks. CRR/CRD IV) er ikke regnet som alternative resultatmål. Det samme gjelder for ikke-finansiell informasjon, f.eks. antall ansatte. Pareto Bank sine alternative resultatmål er presentert i nøkkeltallsoversikten og i styrets beregning. Alle APM'er presenteres med sammenligningstall. APM'ene som nevnt under har i stor grad vært brukt konsistent over tid. Der metode har vært endret er det spesifisert under.</t>
  </si>
  <si>
    <t xml:space="preserve">Kostnadsprosent er definert som sum kostnader før nedskrivinger og tap i prosent av sum inntekter. </t>
  </si>
  <si>
    <t>Utlånsmargin viser den underliggende lønnsomheten i bankens utlånsaktivitet. Ved å vise utlånsmarginen i forhold til Nibor kan man se inntektsevnen i forhold til rentenivået i markedet, og det gjør det mulig å sammenligne utlånsmarginer over tid og mellom banker. Utlånsrenten er den viktigste inntektskilden til banken og nivået på utlånsmargin er en indikator på bankens lønnsomhet over tid.</t>
  </si>
  <si>
    <t>Innskuddsmargin er definert som differansen mellom 3 måneders Nibor og rentekostnader på innskudd til kunder i forhold til gjennomsnittlig innskuddsvolum for perioden. Gjennomsnittlig innskuddsvolum og Nibor er definert som for utlånsmarginer (se over).</t>
  </si>
  <si>
    <t>Innskuddsmargin viser det underliggende kostnadsnivået knyttet til finansiering av bankens utlånsvirksomhet. Ved å vise innskuddsmarginen i forhold til Nibor kan man se kostnadene knyttet til innskuddsfinansiering i forhold til rentenivået i markedet, og det gjør det mulig å sammenligne innskuddsmargin over tid og mellom banker. Innskudd er den største finansieringskilden til banken og nivået på innskuddsmarginen er en indikator på bankens lønnsomhet over tid.</t>
  </si>
  <si>
    <t>Gjennomsnittlig forvaltningskapital er definert som gjennomsnittet av forvaltningskapital for hver måned i perioden. Forvaltningskapital er definert som sum eiendeler i balansen. Tallet er et gjennomsnitt av månedsverdier og kan dermed ikke avstemmes fra perioderegnskapet.</t>
  </si>
  <si>
    <t>Overskuddslikviditet er et mål på bankens likviditet. Det er et mål på bankens likvide midler som kan brukes til å gjøre opp fremtidige forpliktelser eller dekke bortfall av innskudd, økt utlån eller økt trekk på kredittrammer.</t>
  </si>
  <si>
    <t>Utlånsvekst siste 12 måneder er definert som differansen i prosent mellom utlån til kunder fra gjeldende tidspunkt og for 12 måneder siden. Sum utlån til kunder er utlån inklusiv nedskrivinger ihht. IFRS 9 og eksklusive ubenyttede kredittrammer og garantier.</t>
  </si>
  <si>
    <t>Innvilgede kredittrammer er definert som summen av kredittrammer som er innvilget til kunder i en periode, uavhengig av om kunden har akseptert, avslått eller åpnet lånet. Tallet kommer fra en intern oversikt og kan ikke avstemmes fra perioderegnskapet.</t>
  </si>
  <si>
    <t xml:space="preserve">Innvilgede kredittrammer er et mål på bankens aktivitetsnivå og kan være en indikator på fremtidig utlånsvolum. </t>
  </si>
  <si>
    <t>Aksjonærenes egenkapital pr. aksje er et mål på verdien av aksjen og hvor mye verdier i balansen som tilhører hver enkelt aksje.</t>
  </si>
  <si>
    <t>Utdelingsbrøk utbytte er definert som andel utbetalt utbytte delt på aksjonærenes andel av resultatet etter skatt (se definisjonen av egenkapitalavkastning over).</t>
  </si>
  <si>
    <t>Utdelingsbrøk heter også utbytte pr. askje, utdelingsforhold eller "dividend ratio" og forteller hvor stor andel av bankens resultat som deles ut som utbytte til aksjonærene. Tallet henger sammen med bankens utbyttepolicy som definerer et intervall for utdeling. Forventet utdelingsbrøk er en del av bankens guiding og gir investorer en forventning om hvor stor del av bankens resultat som utbetales under forskjellige omstendigheter.</t>
  </si>
  <si>
    <t>Innskuddsvekst er et nyttig mål for bankens innskuddsaktivitet over tid og kan indikere endringer i bankens finansiering eller likviditet.</t>
  </si>
  <si>
    <t>Resultat tilordnet aksjonærer pr. aksje er definert i IFRS og er ikke et APM. Tallet er tatt med i denne oversikten for å bedre forklare bankens aksjerelaterte nøkkeltall. Tallet utrykker verdiutviklingen per aksje for investorer.</t>
  </si>
  <si>
    <t>Egenkapitalavkastning er definert som aksjonærenes andel av resultat etter skatt som prosent av gjennomsnittet av egenkapital ekskl. hybridkapital i perioden. Akjsonærenes andel av resultat uten skatt er resultat etter skatt fratrukket renter for hybridkapital etter skatt. Gjennomsnittet av egenkapital for ett kvartal er tatt på inngående og utgående verdi i kvartalet. Gjennomsnittet for et helt år er regnet som gjennomsnittet av verdi over fem kvartaler. For perioder over to eller tre kvartaler er gjennomsnittet et snitt av ingangsverdien og utgangsverdi av alle kvartaler i perioden. Beregningsmetoden er justert i Q4-2018. For Pareto Banks årsrapport 2017 og frem til delårsrapporten Q3-18 ble gjennomsnittlig egenkapital beregnet som et enkelt snitt mellom inngående og utående verdi. Endringen gir et riktigere snitt av bankens egenkapital, og tar bedre hensyn til utbetaling av utbytte i løpet av året. Egenkapitalavkasning for året 2017 og til og med Q3-18 er omarbeidet.</t>
  </si>
  <si>
    <t>Egenkapitalavkastning er et nyttig resultatmål fordi den viser bankens inntjening for aksjonærene i forhold til kapitalisering. Tallet kan dermed brukes til å sammenligne bankens lønnsomhet over tid og lønnsomhet mellom banker eller andre selskaper. Egenkapital inngår i bankens guiding og gir et mål for bankens lønnsomhet.</t>
  </si>
  <si>
    <t>Kostnadsprosent beskriver bankens kostnadseffektivitet. Den viser i hvilken grad kostnader vil øke for å dekke en viss inntektsvekst.</t>
  </si>
  <si>
    <t>Gjennomsnittlig forvaltningskapital reflekterer bankens størrelse og vekst gjennom året.</t>
  </si>
  <si>
    <t>Innskuddsdekning er definert som sum innskudd fra kunder i prosent av sum utlån til kunder. Sum utlån til kunder er utlån inklusive nedskrivinger ihht. IFRS 9 og eksklusive ubenyttede kredittrammer og garantier.</t>
  </si>
  <si>
    <t>Utlånsvekst er et nyttig mål for bankens kunderettet aktivitet over tid. Utlånsveksten kan indikere fremtidig endring i rentenetto. Utlånsvekst kan også være knyttet til økt risiko. Banken bruker forventet utlånsvekst som en del av sin guiding. Det er ment å indikere en kombinasjon over aktivitetsnivået i markedsområdene banken betjener og hvor stor kapasitet banken har til å vokse.</t>
  </si>
  <si>
    <t>Andel plasseringskonto med likviditetsbinding er definert som andelen plasseringskonto over samlet innskuddsvolum eksklusiv påløpte renter. Pareto Banks plasseringskonto er en type innskuddskonto med flytende rente som bindes likviditetsmessig i en løpende 31-dagers perioder. Tallet kan ikke avstemmes fra perioderegnskapet.</t>
  </si>
  <si>
    <t>Nedskrivings- og tapsprosent er definert som bankens nedskrivings- og tapskostnader i forhold til gjennomsnittlig utlån til kunder i perioden. Utlån til kunder er utlån inklusiv nedskrivinger ihht. IFRS 9 og eksklusiv ubenyttede kredittrammer og garantier. Gjennomsnittet er beregnet med inngående og utgående balanseverdier i perioden. Beregningsmetoden er justert fra å annualisere kvartalstall til å ikke annualisere tallet. Tallet til og med Q3-18 er omarbeidet.</t>
  </si>
  <si>
    <t>Netto misligholdte kredittengasjementer av brutto utlån er definert som brutto misligholdte kredittengasjementer over 90 dager fratrukket nedskrivinger på misligholdte engasjementer i prosent av utlån til kunder eksklusiv nedkrivinger ihht. IFRS 9.</t>
  </si>
  <si>
    <t>Netto tapsutsatte kredittengasjementer av brutto utlån er definert som brutto tapsutsatte, ikke misligholdte kredittengasjementer fratrukket nedskrivinger på tapsutsatte, ikke misligholdte engasjementer i prosent av utlån til kunder eksklusiv nedkrivinger ihht. IFRS 9.</t>
  </si>
  <si>
    <t>Netto misligholdte kredittengasjementer av brutto utlån gir informasjon om kredittkvalitet i bankens utlånsportefølje. Tallet formidler andelen av misligholdet som kan føre til nedskrivinger eller tap som ikke allerede er kostnadsført.  Tallet er uavhengig av utlånsvolum og kan dermed sammenligns mellom perioder. Tallet kan ikke avstemmes fra perioderegnskapet.</t>
  </si>
  <si>
    <t>Netto misligholdte kredittengasjementer av brutto utlån gir informasjon om kredittkvalitet i bankens utlånsportefølje. Tallet formidler andelen av misligholdet som kan føre til nedskrivinger eller tap som ikke allerede er kostnadsført. Tallet er uavhengig av utlånsvolum og kan dermed sammenligns mellom perioder. Tallet kan ikke avstemmes fra perioderegnskapet.</t>
  </si>
  <si>
    <t>Pris / bokført egenkapital er en brøk definert som aksjekursen i NOK delt på aksjonærenes egenkapital per aksje (se definisjonen over).</t>
  </si>
  <si>
    <t>Resultat tilordnet aksjonærer pr. aksje er definert som aksjonærenes andel av resultatet etter skatt delt på antall aksjer. Aksjonærenes andel av resultatet etter skatt er resultat etter skatt eksklusiv konstnader knyttet til hybridkapital (se definisjonen av egenkapitalavkastning over).</t>
  </si>
  <si>
    <t>Egenkapital i % av forvaltningskapital er definert som bankens egenkapital inklusiv hybridkapital som prosent av bankens eiendeler (forvaltningskapital).</t>
  </si>
  <si>
    <t>Egenkapital i % av forvaltningskapital gir informasjon om bankens soliditet i tillegg til nøkkeltall som kapitaldekning (definert i CRR/CRD IV). Tallet gir et mål på hvor mye kapital i NOK som banken selv eier og som kan dekke uventet tap eller bortfall av lønnsomhet. I motsetning til kapitaldekning som benytter en risikovektet beregningsgrunnlag sier dette tallet hvor mye kapital som dekker bankens eksponering uanvhengig av risiko.</t>
  </si>
  <si>
    <t>Overskuddslikviditet er definert som summen av bankens kontanter og fordringer på sentralbanker, utlån og fordringer på kredittinstitusjoner, sertifikater og obligasjoner. Rapportert overskuddslikviditet i delårsrapporten for Q3-18 inkluderte også verdien av rentefond. Dette er omarbeidet i avstemmingen her.</t>
  </si>
  <si>
    <t>Q1-19</t>
  </si>
  <si>
    <t>pr 31.03.2019</t>
  </si>
  <si>
    <t>Utlånsmargin er definert som bidrag utlån i forhold til gjennomsnittlig utlånsvolum fratrukket 3 måneders Nibor for perioden. Bidrag utlån i perioden inkluderer renter og andre gebyr- og provisjonsinntekter på utlån til kunder. Gjennomsnittlig utlånsvolum er regnet som et daglig gjennomsnitt av balanseverdier, og er dermed ikke mulig å avstemme fra perioderegnskapet. I beregningen brukes gjennomsnittet av Nibor fastsatt på den siste dagen i hver enkel måned. Alle gjennomsnitt er vektet med faktisk antall dager i perioden.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</si>
</sst>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0.0\ %"/>
    <numFmt numFmtId="166" formatCode="_(* #,##0.00_);_(* \(#,##0.00\);_(* &quot;-&quot;??_);_(@_)"/>
  </numFmts>
  <fonts count="11"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b/>
      <sz val="10"/>
      <color theme="0"/>
      <name val="Calibri"/>
      <family val="2"/>
      <scheme val="minor"/>
    </font>
    <font>
      <sz val="10"/>
      <color theme="0"/>
      <name val="Calibri"/>
      <family val="2"/>
      <scheme val="minor"/>
    </font>
    <font>
      <sz val="11"/>
      <color rgb="FFFF0000"/>
      <name val="Calibri"/>
      <family val="2"/>
      <scheme val="minor"/>
    </font>
    <font>
      <sz val="10"/>
      <name val="Arial"/>
      <family val="2"/>
    </font>
    <font>
      <sz val="11"/>
      <name val="Calibri"/>
      <family val="2"/>
      <scheme val="minor"/>
    </font>
    <font>
      <b/>
      <sz val="11"/>
      <name val="Calibri"/>
      <family val="2"/>
      <scheme val="minor"/>
    </font>
  </fonts>
  <fills count="5">
    <fill>
      <patternFill patternType="none"/>
    </fill>
    <fill>
      <patternFill patternType="gray125"/>
    </fill>
    <fill>
      <patternFill patternType="solid">
        <fgColor rgb="FF00B0F0"/>
        <bgColor indexed="64"/>
      </patternFill>
    </fill>
    <fill>
      <patternFill patternType="solid">
        <fgColor theme="8" tint="0.79998168889431442"/>
        <bgColor indexed="64"/>
      </patternFill>
    </fill>
    <fill>
      <patternFill patternType="solid">
        <fgColor theme="4" tint="0.79998168889431442"/>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166" fontId="8" fillId="0" borderId="0" applyFont="0" applyFill="0" applyBorder="0" applyAlignment="0" applyProtection="0"/>
  </cellStyleXfs>
  <cellXfs count="49">
    <xf numFmtId="0" fontId="0" fillId="0" borderId="0" xfId="0"/>
    <xf numFmtId="0" fontId="2" fillId="0" borderId="0" xfId="0" applyFont="1"/>
    <xf numFmtId="14" fontId="0" fillId="0" borderId="0" xfId="0" applyNumberFormat="1"/>
    <xf numFmtId="164" fontId="0" fillId="0" borderId="0" xfId="1" applyNumberFormat="1" applyFont="1"/>
    <xf numFmtId="10" fontId="0" fillId="0" borderId="0" xfId="2" applyNumberFormat="1" applyFont="1"/>
    <xf numFmtId="0" fontId="0" fillId="0" borderId="1" xfId="0" applyBorder="1"/>
    <xf numFmtId="164" fontId="0" fillId="0" borderId="1" xfId="1" applyNumberFormat="1" applyFont="1" applyBorder="1"/>
    <xf numFmtId="0" fontId="0" fillId="0" borderId="2" xfId="0" applyBorder="1"/>
    <xf numFmtId="164" fontId="0" fillId="0" borderId="2" xfId="1" applyNumberFormat="1" applyFont="1" applyBorder="1"/>
    <xf numFmtId="165" fontId="0" fillId="0" borderId="2" xfId="2" applyNumberFormat="1" applyFont="1" applyBorder="1"/>
    <xf numFmtId="10" fontId="0" fillId="0" borderId="2" xfId="2" applyNumberFormat="1" applyFont="1" applyBorder="1"/>
    <xf numFmtId="165" fontId="0" fillId="0" borderId="0" xfId="2" applyNumberFormat="1" applyFont="1"/>
    <xf numFmtId="43" fontId="0" fillId="0" borderId="0" xfId="1" applyFont="1"/>
    <xf numFmtId="165" fontId="0" fillId="0" borderId="0" xfId="0" applyNumberFormat="1"/>
    <xf numFmtId="165" fontId="0" fillId="0" borderId="1" xfId="0" applyNumberFormat="1" applyBorder="1"/>
    <xf numFmtId="165" fontId="0" fillId="0" borderId="2" xfId="0" applyNumberFormat="1" applyBorder="1"/>
    <xf numFmtId="165" fontId="0" fillId="0" borderId="1" xfId="2" applyNumberFormat="1" applyFont="1" applyBorder="1"/>
    <xf numFmtId="43" fontId="0" fillId="0" borderId="2" xfId="1" applyFont="1" applyBorder="1"/>
    <xf numFmtId="43" fontId="0" fillId="0" borderId="1" xfId="1" applyFont="1" applyBorder="1"/>
    <xf numFmtId="0" fontId="3" fillId="0" borderId="0" xfId="0" applyFont="1" applyAlignment="1">
      <alignment vertical="center"/>
    </xf>
    <xf numFmtId="0" fontId="4" fillId="0" borderId="0" xfId="0" applyFont="1" applyAlignment="1">
      <alignment wrapText="1"/>
    </xf>
    <xf numFmtId="0" fontId="4" fillId="0" borderId="0" xfId="0" applyFont="1"/>
    <xf numFmtId="0" fontId="3" fillId="0" borderId="1" xfId="0" applyFont="1" applyBorder="1" applyAlignment="1">
      <alignment vertical="center"/>
    </xf>
    <xf numFmtId="0" fontId="4" fillId="0" borderId="1" xfId="0" applyFont="1" applyBorder="1" applyAlignment="1">
      <alignment wrapText="1"/>
    </xf>
    <xf numFmtId="0" fontId="4" fillId="0" borderId="0" xfId="0" applyFont="1" applyAlignment="1">
      <alignment vertical="center"/>
    </xf>
    <xf numFmtId="0" fontId="5" fillId="2" borderId="1" xfId="0" applyFont="1" applyFill="1" applyBorder="1" applyAlignment="1">
      <alignment vertical="center"/>
    </xf>
    <xf numFmtId="0" fontId="6" fillId="2" borderId="1" xfId="0" applyFont="1" applyFill="1" applyBorder="1" applyAlignment="1">
      <alignment wrapText="1"/>
    </xf>
    <xf numFmtId="164" fontId="0" fillId="0" borderId="0" xfId="0" applyNumberFormat="1"/>
    <xf numFmtId="165" fontId="0" fillId="3" borderId="2" xfId="2" applyNumberFormat="1" applyFont="1" applyFill="1" applyBorder="1"/>
    <xf numFmtId="0" fontId="0" fillId="3" borderId="0" xfId="0" applyFill="1"/>
    <xf numFmtId="10" fontId="0" fillId="4" borderId="2" xfId="2" applyNumberFormat="1" applyFont="1" applyFill="1" applyBorder="1"/>
    <xf numFmtId="10" fontId="0" fillId="0" borderId="0" xfId="0" applyNumberFormat="1"/>
    <xf numFmtId="0" fontId="5" fillId="2" borderId="3" xfId="0" applyFont="1" applyFill="1" applyBorder="1" applyAlignment="1">
      <alignment vertical="center"/>
    </xf>
    <xf numFmtId="0" fontId="5" fillId="2" borderId="3" xfId="0" applyFont="1" applyFill="1" applyBorder="1" applyAlignment="1">
      <alignment wrapText="1"/>
    </xf>
    <xf numFmtId="164" fontId="0" fillId="4" borderId="2" xfId="1" applyNumberFormat="1" applyFont="1" applyFill="1" applyBorder="1"/>
    <xf numFmtId="0" fontId="7" fillId="0" borderId="0" xfId="0" applyFont="1"/>
    <xf numFmtId="4" fontId="7" fillId="0" borderId="0" xfId="0" applyNumberFormat="1" applyFont="1"/>
    <xf numFmtId="164" fontId="1" fillId="0" borderId="0" xfId="1" applyNumberFormat="1" applyFont="1"/>
    <xf numFmtId="164" fontId="9" fillId="0" borderId="0" xfId="1" applyNumberFormat="1" applyFont="1"/>
    <xf numFmtId="165" fontId="9" fillId="0" borderId="1" xfId="2" applyNumberFormat="1" applyFont="1" applyBorder="1"/>
    <xf numFmtId="165" fontId="9" fillId="0" borderId="2" xfId="2" applyNumberFormat="1" applyFont="1" applyBorder="1"/>
    <xf numFmtId="0" fontId="9" fillId="0" borderId="0" xfId="0" applyFont="1"/>
    <xf numFmtId="0" fontId="10" fillId="0" borderId="0" xfId="0" applyFont="1"/>
    <xf numFmtId="165" fontId="9" fillId="0" borderId="0" xfId="2" applyNumberFormat="1" applyFont="1"/>
    <xf numFmtId="165" fontId="9" fillId="0" borderId="1" xfId="0" applyNumberFormat="1" applyFont="1" applyBorder="1"/>
    <xf numFmtId="165" fontId="9" fillId="0" borderId="2" xfId="0" applyNumberFormat="1" applyFont="1" applyBorder="1"/>
    <xf numFmtId="0" fontId="4" fillId="0" borderId="3" xfId="0" applyFont="1" applyBorder="1" applyAlignment="1">
      <alignment horizontal="left" vertical="center"/>
    </xf>
    <xf numFmtId="0" fontId="4" fillId="0" borderId="1" xfId="0" applyFont="1" applyBorder="1" applyAlignment="1">
      <alignment horizontal="left" vertical="center"/>
    </xf>
    <xf numFmtId="0" fontId="4" fillId="0" borderId="0" xfId="0" applyFont="1" applyAlignment="1">
      <alignment vertical="top" wrapText="1"/>
    </xf>
  </cellXfs>
  <cellStyles count="4">
    <cellStyle name="Comma" xfId="1" builtinId="3"/>
    <cellStyle name="Comma 2" xfId="3" xr:uid="{7E6F93B3-279C-4B65-8DD2-88866C42D8C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E4B48-9A2E-4568-87D7-7FEC5FFF2760}">
  <dimension ref="A1:B71"/>
  <sheetViews>
    <sheetView showGridLines="0" tabSelected="1" zoomScaleNormal="100" workbookViewId="0"/>
  </sheetViews>
  <sheetFormatPr defaultRowHeight="12.75" x14ac:dyDescent="0.2"/>
  <cols>
    <col min="1" max="1" width="58.140625" style="24" customWidth="1"/>
    <col min="2" max="2" width="145.85546875" style="20" customWidth="1"/>
    <col min="3" max="16384" width="9.140625" style="21"/>
  </cols>
  <sheetData>
    <row r="1" spans="1:2" x14ac:dyDescent="0.2">
      <c r="A1" s="19" t="s">
        <v>85</v>
      </c>
    </row>
    <row r="2" spans="1:2" x14ac:dyDescent="0.2">
      <c r="A2" s="24" t="s">
        <v>135</v>
      </c>
    </row>
    <row r="3" spans="1:2" x14ac:dyDescent="0.2">
      <c r="A3" s="21"/>
    </row>
    <row r="4" spans="1:2" ht="53.25" customHeight="1" x14ac:dyDescent="0.2">
      <c r="A4" s="48" t="s">
        <v>102</v>
      </c>
      <c r="B4" s="48"/>
    </row>
    <row r="7" spans="1:2" x14ac:dyDescent="0.2">
      <c r="A7" s="32" t="s">
        <v>0</v>
      </c>
      <c r="B7" s="33" t="s">
        <v>86</v>
      </c>
    </row>
    <row r="8" spans="1:2" x14ac:dyDescent="0.2">
      <c r="A8" s="25" t="s">
        <v>15</v>
      </c>
      <c r="B8" s="26"/>
    </row>
    <row r="9" spans="1:2" ht="76.5" x14ac:dyDescent="0.2">
      <c r="A9" s="46" t="s">
        <v>1</v>
      </c>
      <c r="B9" s="20" t="s">
        <v>117</v>
      </c>
    </row>
    <row r="10" spans="1:2" ht="25.5" x14ac:dyDescent="0.2">
      <c r="A10" s="47"/>
      <c r="B10" s="23" t="s">
        <v>118</v>
      </c>
    </row>
    <row r="11" spans="1:2" x14ac:dyDescent="0.2">
      <c r="A11" s="46" t="s">
        <v>24</v>
      </c>
      <c r="B11" s="20" t="s">
        <v>103</v>
      </c>
    </row>
    <row r="12" spans="1:2" x14ac:dyDescent="0.2">
      <c r="A12" s="47"/>
      <c r="B12" s="23" t="s">
        <v>119</v>
      </c>
    </row>
    <row r="13" spans="1:2" ht="39.75" customHeight="1" x14ac:dyDescent="0.2">
      <c r="A13" s="46" t="s">
        <v>4</v>
      </c>
      <c r="B13" s="20" t="s">
        <v>136</v>
      </c>
    </row>
    <row r="14" spans="1:2" ht="38.25" x14ac:dyDescent="0.2">
      <c r="A14" s="47"/>
      <c r="B14" s="23" t="s">
        <v>104</v>
      </c>
    </row>
    <row r="15" spans="1:2" ht="25.5" x14ac:dyDescent="0.2">
      <c r="A15" s="46" t="s">
        <v>5</v>
      </c>
      <c r="B15" s="20" t="s">
        <v>105</v>
      </c>
    </row>
    <row r="16" spans="1:2" ht="38.25" x14ac:dyDescent="0.2">
      <c r="A16" s="47"/>
      <c r="B16" s="23" t="s">
        <v>106</v>
      </c>
    </row>
    <row r="17" spans="1:2" x14ac:dyDescent="0.2">
      <c r="A17" s="46" t="s">
        <v>6</v>
      </c>
      <c r="B17" s="20" t="s">
        <v>81</v>
      </c>
    </row>
    <row r="18" spans="1:2" ht="38.25" x14ac:dyDescent="0.2">
      <c r="A18" s="47"/>
      <c r="B18" s="23" t="s">
        <v>82</v>
      </c>
    </row>
    <row r="20" spans="1:2" x14ac:dyDescent="0.2">
      <c r="A20" s="22" t="s">
        <v>16</v>
      </c>
      <c r="B20" s="23"/>
    </row>
    <row r="21" spans="1:2" ht="25.5" x14ac:dyDescent="0.2">
      <c r="A21" s="46" t="s">
        <v>22</v>
      </c>
      <c r="B21" s="20" t="s">
        <v>107</v>
      </c>
    </row>
    <row r="22" spans="1:2" x14ac:dyDescent="0.2">
      <c r="A22" s="47"/>
      <c r="B22" s="23" t="s">
        <v>120</v>
      </c>
    </row>
    <row r="23" spans="1:2" ht="25.5" x14ac:dyDescent="0.2">
      <c r="A23" s="46" t="s">
        <v>10</v>
      </c>
      <c r="B23" s="20" t="s">
        <v>121</v>
      </c>
    </row>
    <row r="24" spans="1:2" ht="25.5" x14ac:dyDescent="0.2">
      <c r="A24" s="47"/>
      <c r="B24" s="23" t="s">
        <v>94</v>
      </c>
    </row>
    <row r="25" spans="1:2" ht="25.5" x14ac:dyDescent="0.2">
      <c r="A25" s="46" t="s">
        <v>11</v>
      </c>
      <c r="B25" s="20" t="s">
        <v>133</v>
      </c>
    </row>
    <row r="26" spans="1:2" ht="25.5" x14ac:dyDescent="0.2">
      <c r="A26" s="47"/>
      <c r="B26" s="23" t="s">
        <v>108</v>
      </c>
    </row>
    <row r="27" spans="1:2" ht="25.5" x14ac:dyDescent="0.2">
      <c r="A27" s="46" t="s">
        <v>50</v>
      </c>
      <c r="B27" s="20" t="s">
        <v>109</v>
      </c>
    </row>
    <row r="28" spans="1:2" ht="38.25" x14ac:dyDescent="0.2">
      <c r="A28" s="47"/>
      <c r="B28" s="23" t="s">
        <v>122</v>
      </c>
    </row>
    <row r="29" spans="1:2" ht="25.5" x14ac:dyDescent="0.2">
      <c r="A29" s="46" t="s">
        <v>96</v>
      </c>
      <c r="B29" s="20" t="s">
        <v>110</v>
      </c>
    </row>
    <row r="30" spans="1:2" x14ac:dyDescent="0.2">
      <c r="A30" s="47"/>
      <c r="B30" s="23" t="s">
        <v>111</v>
      </c>
    </row>
    <row r="31" spans="1:2" x14ac:dyDescent="0.2">
      <c r="A31" s="46" t="s">
        <v>23</v>
      </c>
      <c r="B31" s="20" t="s">
        <v>87</v>
      </c>
    </row>
    <row r="32" spans="1:2" x14ac:dyDescent="0.2">
      <c r="A32" s="47"/>
      <c r="B32" s="23" t="s">
        <v>115</v>
      </c>
    </row>
    <row r="33" spans="1:2" ht="25.5" x14ac:dyDescent="0.2">
      <c r="A33" s="46" t="s">
        <v>9</v>
      </c>
      <c r="B33" s="20" t="s">
        <v>95</v>
      </c>
    </row>
    <row r="34" spans="1:2" ht="25.5" x14ac:dyDescent="0.2">
      <c r="A34" s="47"/>
      <c r="B34" s="23" t="s">
        <v>88</v>
      </c>
    </row>
    <row r="35" spans="1:2" ht="25.5" x14ac:dyDescent="0.2">
      <c r="A35" s="46" t="s">
        <v>59</v>
      </c>
      <c r="B35" s="20" t="s">
        <v>123</v>
      </c>
    </row>
    <row r="36" spans="1:2" ht="25.5" x14ac:dyDescent="0.2">
      <c r="A36" s="47"/>
      <c r="B36" s="23" t="s">
        <v>89</v>
      </c>
    </row>
    <row r="38" spans="1:2" x14ac:dyDescent="0.2">
      <c r="A38" s="22" t="s">
        <v>14</v>
      </c>
      <c r="B38" s="23"/>
    </row>
    <row r="39" spans="1:2" ht="38.25" x14ac:dyDescent="0.2">
      <c r="A39" s="46" t="s">
        <v>83</v>
      </c>
      <c r="B39" s="20" t="s">
        <v>124</v>
      </c>
    </row>
    <row r="40" spans="1:2" x14ac:dyDescent="0.2">
      <c r="A40" s="47"/>
      <c r="B40" s="23" t="s">
        <v>84</v>
      </c>
    </row>
    <row r="41" spans="1:2" ht="25.5" x14ac:dyDescent="0.2">
      <c r="A41" s="46" t="s">
        <v>8</v>
      </c>
      <c r="B41" s="20" t="s">
        <v>125</v>
      </c>
    </row>
    <row r="42" spans="1:2" ht="27" customHeight="1" x14ac:dyDescent="0.2">
      <c r="A42" s="47"/>
      <c r="B42" s="23" t="s">
        <v>127</v>
      </c>
    </row>
    <row r="43" spans="1:2" ht="25.5" x14ac:dyDescent="0.2">
      <c r="A43" s="46" t="s">
        <v>7</v>
      </c>
      <c r="B43" s="20" t="s">
        <v>126</v>
      </c>
    </row>
    <row r="44" spans="1:2" ht="27" customHeight="1" x14ac:dyDescent="0.2">
      <c r="A44" s="47"/>
      <c r="B44" s="23" t="s">
        <v>128</v>
      </c>
    </row>
    <row r="46" spans="1:2" x14ac:dyDescent="0.2">
      <c r="A46" s="22" t="s">
        <v>17</v>
      </c>
      <c r="B46" s="23"/>
    </row>
    <row r="47" spans="1:2" ht="25.5" x14ac:dyDescent="0.2">
      <c r="A47" s="46" t="s">
        <v>12</v>
      </c>
      <c r="B47" s="20" t="s">
        <v>130</v>
      </c>
    </row>
    <row r="48" spans="1:2" ht="25.5" x14ac:dyDescent="0.2">
      <c r="A48" s="47"/>
      <c r="B48" s="23" t="s">
        <v>116</v>
      </c>
    </row>
    <row r="49" spans="1:2" x14ac:dyDescent="0.2">
      <c r="A49" s="46" t="s">
        <v>13</v>
      </c>
      <c r="B49" s="20" t="s">
        <v>90</v>
      </c>
    </row>
    <row r="50" spans="1:2" x14ac:dyDescent="0.2">
      <c r="A50" s="47"/>
      <c r="B50" s="23" t="s">
        <v>112</v>
      </c>
    </row>
    <row r="51" spans="1:2" x14ac:dyDescent="0.2">
      <c r="A51" s="46" t="s">
        <v>18</v>
      </c>
      <c r="B51" s="20" t="s">
        <v>91</v>
      </c>
    </row>
    <row r="52" spans="1:2" ht="25.5" x14ac:dyDescent="0.2">
      <c r="A52" s="47"/>
      <c r="B52" s="23" t="s">
        <v>93</v>
      </c>
    </row>
    <row r="53" spans="1:2" x14ac:dyDescent="0.2">
      <c r="A53" s="46" t="s">
        <v>19</v>
      </c>
      <c r="B53" s="20" t="s">
        <v>129</v>
      </c>
    </row>
    <row r="54" spans="1:2" ht="25.5" x14ac:dyDescent="0.2">
      <c r="A54" s="47"/>
      <c r="B54" s="23" t="s">
        <v>92</v>
      </c>
    </row>
    <row r="55" spans="1:2" x14ac:dyDescent="0.2">
      <c r="A55" s="46" t="s">
        <v>3</v>
      </c>
      <c r="B55" s="20" t="s">
        <v>113</v>
      </c>
    </row>
    <row r="56" spans="1:2" ht="38.25" x14ac:dyDescent="0.2">
      <c r="A56" s="47"/>
      <c r="B56" s="23" t="s">
        <v>114</v>
      </c>
    </row>
    <row r="57" spans="1:2" x14ac:dyDescent="0.2">
      <c r="A57" s="46" t="s">
        <v>21</v>
      </c>
      <c r="B57" s="20" t="s">
        <v>131</v>
      </c>
    </row>
    <row r="58" spans="1:2" ht="38.25" x14ac:dyDescent="0.2">
      <c r="A58" s="47"/>
      <c r="B58" s="23" t="s">
        <v>132</v>
      </c>
    </row>
    <row r="71" spans="1:1" x14ac:dyDescent="0.2">
      <c r="A71" s="19"/>
    </row>
  </sheetData>
  <mergeCells count="23">
    <mergeCell ref="A17:A18"/>
    <mergeCell ref="A4:B4"/>
    <mergeCell ref="A9:A10"/>
    <mergeCell ref="A11:A12"/>
    <mergeCell ref="A13:A14"/>
    <mergeCell ref="A15:A16"/>
    <mergeCell ref="A47:A48"/>
    <mergeCell ref="A21:A22"/>
    <mergeCell ref="A23:A24"/>
    <mergeCell ref="A25:A26"/>
    <mergeCell ref="A27:A28"/>
    <mergeCell ref="A29:A30"/>
    <mergeCell ref="A31:A32"/>
    <mergeCell ref="A33:A34"/>
    <mergeCell ref="A35:A36"/>
    <mergeCell ref="A39:A40"/>
    <mergeCell ref="A41:A42"/>
    <mergeCell ref="A43:A44"/>
    <mergeCell ref="A49:A50"/>
    <mergeCell ref="A51:A52"/>
    <mergeCell ref="A53:A54"/>
    <mergeCell ref="A55:A56"/>
    <mergeCell ref="A57:A5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BFFC6-5586-4022-9CE0-60613FBF2076}">
  <dimension ref="A1:Z169"/>
  <sheetViews>
    <sheetView workbookViewId="0">
      <pane ySplit="2" topLeftCell="A3" activePane="bottomLeft" state="frozen"/>
      <selection pane="bottomLeft" activeCell="I117" sqref="I117"/>
    </sheetView>
  </sheetViews>
  <sheetFormatPr defaultRowHeight="15" x14ac:dyDescent="0.25"/>
  <cols>
    <col min="1" max="1" width="55.5703125" bestFit="1" customWidth="1"/>
    <col min="2" max="2" width="16.5703125" customWidth="1"/>
    <col min="3" max="11" width="12.7109375" customWidth="1"/>
    <col min="12" max="12" width="14" customWidth="1"/>
    <col min="13" max="13" width="14.5703125" customWidth="1"/>
    <col min="14" max="14" width="12.7109375" customWidth="1"/>
  </cols>
  <sheetData>
    <row r="1" spans="1:26" x14ac:dyDescent="0.25">
      <c r="A1" t="s">
        <v>31</v>
      </c>
      <c r="B1" s="2">
        <v>43555</v>
      </c>
      <c r="C1" s="2">
        <v>43465</v>
      </c>
      <c r="D1" s="2">
        <v>43373</v>
      </c>
      <c r="E1" s="2">
        <v>43281</v>
      </c>
      <c r="F1" s="2">
        <v>43190</v>
      </c>
      <c r="G1" s="2">
        <v>43100</v>
      </c>
      <c r="I1" t="s">
        <v>134</v>
      </c>
      <c r="J1" t="s">
        <v>99</v>
      </c>
      <c r="K1" t="s">
        <v>27</v>
      </c>
      <c r="L1" t="s">
        <v>28</v>
      </c>
      <c r="M1" t="s">
        <v>29</v>
      </c>
      <c r="N1" t="s">
        <v>30</v>
      </c>
    </row>
    <row r="3" spans="1:26" x14ac:dyDescent="0.25">
      <c r="A3" s="1" t="s">
        <v>32</v>
      </c>
      <c r="B3" s="1"/>
    </row>
    <row r="4" spans="1:26" x14ac:dyDescent="0.25">
      <c r="A4" t="s">
        <v>33</v>
      </c>
      <c r="B4" s="3">
        <v>99664</v>
      </c>
      <c r="C4" s="3">
        <v>330779.48553999979</v>
      </c>
      <c r="D4" s="3">
        <v>249189.91756000009</v>
      </c>
      <c r="E4" s="3">
        <v>172407.07492999997</v>
      </c>
      <c r="F4" s="3">
        <v>79222.35824000003</v>
      </c>
      <c r="G4" s="3">
        <v>312587.46618000022</v>
      </c>
      <c r="H4" s="3"/>
      <c r="I4" s="3">
        <v>99664</v>
      </c>
      <c r="J4" s="3">
        <v>81589.567979999701</v>
      </c>
      <c r="K4" s="3">
        <v>76782.842630000116</v>
      </c>
      <c r="L4" s="3">
        <v>93184.716689999943</v>
      </c>
      <c r="M4" s="3">
        <v>79222.35824000003</v>
      </c>
      <c r="N4" s="3">
        <v>73267.899280000303</v>
      </c>
    </row>
    <row r="5" spans="1:26" x14ac:dyDescent="0.25">
      <c r="A5" t="s">
        <v>34</v>
      </c>
      <c r="B5" s="3">
        <v>2633</v>
      </c>
      <c r="C5" s="3">
        <v>7105.6555600000002</v>
      </c>
      <c r="D5" s="3">
        <v>4487.0055499999999</v>
      </c>
      <c r="E5" s="3">
        <v>1900.35554</v>
      </c>
      <c r="F5" s="3">
        <v>602.44165999999996</v>
      </c>
      <c r="G5" s="3">
        <v>4461.7274500000003</v>
      </c>
      <c r="H5" s="3"/>
      <c r="I5" s="3">
        <v>2633</v>
      </c>
      <c r="J5" s="3">
        <v>2618.6500099999998</v>
      </c>
      <c r="K5" s="3">
        <v>2586.6500099999998</v>
      </c>
      <c r="L5" s="3">
        <v>1297.9138800000001</v>
      </c>
      <c r="M5" s="3">
        <v>602.44165999999996</v>
      </c>
      <c r="N5" s="3">
        <v>607.99722000000008</v>
      </c>
      <c r="P5" s="27"/>
      <c r="Q5" s="27"/>
      <c r="R5" s="27"/>
      <c r="S5" s="27"/>
      <c r="T5" s="27"/>
      <c r="U5" s="27"/>
      <c r="V5" s="27"/>
      <c r="W5" s="27"/>
      <c r="X5" s="27"/>
      <c r="Y5" s="27"/>
      <c r="Z5" s="27"/>
    </row>
    <row r="6" spans="1:26" x14ac:dyDescent="0.25">
      <c r="A6" s="5" t="s">
        <v>97</v>
      </c>
      <c r="B6" s="3">
        <f t="shared" ref="B6:G6" si="0">-B5*0.25</f>
        <v>-658.25</v>
      </c>
      <c r="C6" s="6">
        <f t="shared" si="0"/>
        <v>-1776.41389</v>
      </c>
      <c r="D6" s="6">
        <f t="shared" si="0"/>
        <v>-1121.7513875</v>
      </c>
      <c r="E6" s="6">
        <f t="shared" si="0"/>
        <v>-475.088885</v>
      </c>
      <c r="F6" s="6">
        <f t="shared" si="0"/>
        <v>-150.61041499999999</v>
      </c>
      <c r="G6" s="6">
        <f t="shared" si="0"/>
        <v>-1115.4318625000001</v>
      </c>
      <c r="H6" s="3"/>
      <c r="I6" s="3">
        <v>-658.25</v>
      </c>
      <c r="J6" s="6">
        <f>-J5*0.25</f>
        <v>-654.66250249999996</v>
      </c>
      <c r="K6" s="6">
        <f>-K5*0.25</f>
        <v>-646.66250249999996</v>
      </c>
      <c r="L6" s="6">
        <f>-L5*0.25</f>
        <v>-324.47847000000002</v>
      </c>
      <c r="M6" s="6">
        <f>-M5*0.25</f>
        <v>-150.61041499999999</v>
      </c>
      <c r="N6" s="6">
        <f>-N5*0.25</f>
        <v>-151.99930500000002</v>
      </c>
    </row>
    <row r="7" spans="1:26" x14ac:dyDescent="0.25">
      <c r="A7" s="7" t="s">
        <v>35</v>
      </c>
      <c r="B7" s="8">
        <f t="shared" ref="B7:G7" si="1">B4-B5-B6</f>
        <v>97689.25</v>
      </c>
      <c r="C7" s="8">
        <f t="shared" si="1"/>
        <v>325450.24386999983</v>
      </c>
      <c r="D7" s="8">
        <f t="shared" si="1"/>
        <v>245824.66339750009</v>
      </c>
      <c r="E7" s="8">
        <f t="shared" si="1"/>
        <v>170981.80827499999</v>
      </c>
      <c r="F7" s="8">
        <f t="shared" si="1"/>
        <v>78770.526995000037</v>
      </c>
      <c r="G7" s="8">
        <f t="shared" si="1"/>
        <v>309241.17059250019</v>
      </c>
      <c r="H7" s="3"/>
      <c r="I7" s="8">
        <f t="shared" ref="I7:N7" si="2">I4-I5-I6</f>
        <v>97689.25</v>
      </c>
      <c r="J7" s="8">
        <f t="shared" si="2"/>
        <v>79625.5804724997</v>
      </c>
      <c r="K7" s="8">
        <f t="shared" si="2"/>
        <v>74842.855122500114</v>
      </c>
      <c r="L7" s="8">
        <f t="shared" si="2"/>
        <v>92211.281279999937</v>
      </c>
      <c r="M7" s="8">
        <f t="shared" si="2"/>
        <v>78770.526995000037</v>
      </c>
      <c r="N7" s="8">
        <f t="shared" si="2"/>
        <v>72811.901365000303</v>
      </c>
    </row>
    <row r="8" spans="1:26" x14ac:dyDescent="0.25">
      <c r="A8" t="s">
        <v>36</v>
      </c>
      <c r="B8" s="3">
        <v>2605544.12629</v>
      </c>
      <c r="C8" s="3">
        <v>2507807.1124900002</v>
      </c>
      <c r="D8" s="3">
        <v>2428112.0311200004</v>
      </c>
      <c r="E8" s="3">
        <v>2353115.6329399999</v>
      </c>
      <c r="F8" s="3">
        <v>2110841.7356900005</v>
      </c>
      <c r="G8" s="3">
        <v>2125910.3699699999</v>
      </c>
      <c r="H8" s="3"/>
      <c r="I8" s="3">
        <v>2605544.12629</v>
      </c>
      <c r="J8" s="3">
        <v>2507807.1124900002</v>
      </c>
      <c r="K8" s="3">
        <v>2428112.0311200004</v>
      </c>
      <c r="L8" s="3">
        <v>2353115.6329399999</v>
      </c>
      <c r="M8" s="3">
        <v>2110841.7356900005</v>
      </c>
      <c r="N8" s="3">
        <v>2125910.3699699999</v>
      </c>
    </row>
    <row r="9" spans="1:26" x14ac:dyDescent="0.25">
      <c r="A9" t="s">
        <v>37</v>
      </c>
      <c r="B9" s="3">
        <v>200000</v>
      </c>
      <c r="C9" s="3">
        <v>200000</v>
      </c>
      <c r="D9" s="3">
        <v>200000</v>
      </c>
      <c r="E9" s="3">
        <v>200000</v>
      </c>
      <c r="F9" s="3">
        <v>50000</v>
      </c>
      <c r="G9" s="3">
        <v>50000</v>
      </c>
      <c r="H9" s="3"/>
      <c r="I9" s="3">
        <v>200000</v>
      </c>
      <c r="J9" s="3">
        <v>200000</v>
      </c>
      <c r="K9" s="3">
        <v>200000</v>
      </c>
      <c r="L9" s="3">
        <v>200000</v>
      </c>
      <c r="M9" s="3">
        <v>50000</v>
      </c>
      <c r="N9" s="3">
        <v>50000</v>
      </c>
    </row>
    <row r="10" spans="1:26" x14ac:dyDescent="0.25">
      <c r="A10" t="s">
        <v>38</v>
      </c>
      <c r="B10" s="3">
        <f>B8-B9</f>
        <v>2405544.12629</v>
      </c>
      <c r="C10" s="3">
        <f>C8-C9</f>
        <v>2307807.1124900002</v>
      </c>
      <c r="D10" s="3">
        <f t="shared" ref="D10:G10" si="3">D8-D9</f>
        <v>2228112.0311200004</v>
      </c>
      <c r="E10" s="3">
        <f t="shared" si="3"/>
        <v>2153115.6329399999</v>
      </c>
      <c r="F10" s="3">
        <f t="shared" si="3"/>
        <v>2060841.7356900005</v>
      </c>
      <c r="G10" s="3">
        <f t="shared" si="3"/>
        <v>2075910.3699699999</v>
      </c>
      <c r="H10" s="3"/>
      <c r="I10" s="3">
        <f>I8-I9</f>
        <v>2405544.12629</v>
      </c>
      <c r="J10" s="3">
        <f>J8-J9</f>
        <v>2307807.1124900002</v>
      </c>
      <c r="K10" s="3">
        <f t="shared" ref="K10" si="4">K8-K9</f>
        <v>2228112.0311200004</v>
      </c>
      <c r="L10" s="3">
        <f t="shared" ref="L10" si="5">L8-L9</f>
        <v>2153115.6329399999</v>
      </c>
      <c r="M10" s="3">
        <f t="shared" ref="M10" si="6">M8-M9</f>
        <v>2060841.7356900005</v>
      </c>
      <c r="N10" s="3">
        <f>N8-N9</f>
        <v>2075910.3699699999</v>
      </c>
    </row>
    <row r="11" spans="1:26" x14ac:dyDescent="0.25">
      <c r="A11" s="5" t="s">
        <v>40</v>
      </c>
      <c r="B11" s="3">
        <f>(I10+J10)/2</f>
        <v>2356675.6193900001</v>
      </c>
      <c r="C11" s="6">
        <f>(J10+K10+L10+M10+N10)/5</f>
        <v>2165157.3764419998</v>
      </c>
      <c r="D11" s="6">
        <f>(K10+L10+M10+N10)/4</f>
        <v>2129494.9424300003</v>
      </c>
      <c r="E11" s="6">
        <f>(L10+M10+N10)/3</f>
        <v>2096622.5795333337</v>
      </c>
      <c r="F11" s="6">
        <f>(M10+N10)/2</f>
        <v>2068376.0528300002</v>
      </c>
      <c r="G11" s="6">
        <v>1932901.6936799996</v>
      </c>
      <c r="H11" s="3"/>
      <c r="I11" s="3">
        <f>(I10+J10)/2</f>
        <v>2356675.6193900001</v>
      </c>
      <c r="J11" s="6">
        <f>(J10+K10)/2</f>
        <v>2267959.5718050003</v>
      </c>
      <c r="K11" s="6">
        <f>(K10+L10)/2</f>
        <v>2190613.8320300002</v>
      </c>
      <c r="L11" s="6">
        <f>(L10+M10)/2</f>
        <v>2106978.6843150002</v>
      </c>
      <c r="M11" s="6">
        <f>(M10+N10)/2</f>
        <v>2068376.0528300002</v>
      </c>
      <c r="N11" s="6">
        <v>2039452.1175149996</v>
      </c>
    </row>
    <row r="12" spans="1:26" x14ac:dyDescent="0.25">
      <c r="A12" s="7" t="s">
        <v>1</v>
      </c>
      <c r="B12" s="9">
        <f>(4/1)*B7/B11</f>
        <v>0.16580856388761012</v>
      </c>
      <c r="C12" s="9">
        <f>C7/C11</f>
        <v>0.15031251188068914</v>
      </c>
      <c r="D12" s="28">
        <f>(4/3)*D7/D11</f>
        <v>0.15391734975867763</v>
      </c>
      <c r="E12" s="28">
        <f>(4/2)*E7/E11</f>
        <v>0.16310213382616257</v>
      </c>
      <c r="F12" s="28">
        <f>(4/1)*F7/F11</f>
        <v>0.15233308640800472</v>
      </c>
      <c r="G12" s="28">
        <f>G7/G11</f>
        <v>0.15998804885091919</v>
      </c>
      <c r="I12" s="9">
        <f t="shared" ref="I12:N12" si="7">4*I7/I11</f>
        <v>0.16580856388761012</v>
      </c>
      <c r="J12" s="9">
        <f t="shared" si="7"/>
        <v>0.14043562585928834</v>
      </c>
      <c r="K12" s="9">
        <f t="shared" si="7"/>
        <v>0.13666097424965981</v>
      </c>
      <c r="L12" s="9">
        <f t="shared" si="7"/>
        <v>0.17505878339719178</v>
      </c>
      <c r="M12" s="9">
        <f t="shared" si="7"/>
        <v>0.15233308640800472</v>
      </c>
      <c r="N12" s="9">
        <f t="shared" si="7"/>
        <v>0.14280678764592725</v>
      </c>
    </row>
    <row r="14" spans="1:26" x14ac:dyDescent="0.25">
      <c r="A14" s="1" t="s">
        <v>24</v>
      </c>
      <c r="B14" s="1"/>
    </row>
    <row r="15" spans="1:26" x14ac:dyDescent="0.25">
      <c r="A15" t="s">
        <v>25</v>
      </c>
      <c r="B15" s="3">
        <v>34961.902710000002</v>
      </c>
      <c r="C15" s="3">
        <v>119865.71131000001</v>
      </c>
      <c r="D15" s="3">
        <v>91663.468710000001</v>
      </c>
      <c r="E15" s="3">
        <v>60601.509189999997</v>
      </c>
      <c r="F15" s="3">
        <v>31013.504419999997</v>
      </c>
      <c r="G15" s="3">
        <v>112575.77326</v>
      </c>
      <c r="H15" s="3"/>
      <c r="I15" s="3">
        <v>34961.902710000002</v>
      </c>
      <c r="J15" s="3">
        <v>28202.242600000012</v>
      </c>
      <c r="K15" s="3">
        <v>31061.959520000004</v>
      </c>
      <c r="L15" s="3">
        <v>29588.00477</v>
      </c>
      <c r="M15" s="3">
        <v>31013.504419999997</v>
      </c>
    </row>
    <row r="16" spans="1:26" x14ac:dyDescent="0.25">
      <c r="A16" s="5" t="s">
        <v>26</v>
      </c>
      <c r="B16" s="3">
        <v>168819.39313000004</v>
      </c>
      <c r="C16" s="6">
        <v>563157.65295999986</v>
      </c>
      <c r="D16" s="6">
        <v>419422.79622000008</v>
      </c>
      <c r="E16" s="6">
        <v>281949.80859999999</v>
      </c>
      <c r="F16" s="6">
        <v>133969.46621000004</v>
      </c>
      <c r="G16" s="6">
        <v>538965.62406000018</v>
      </c>
      <c r="H16" s="3"/>
      <c r="I16" s="3">
        <v>168819.39313000004</v>
      </c>
      <c r="J16" s="6">
        <v>143734.85673999978</v>
      </c>
      <c r="K16" s="6">
        <v>137472.98762000009</v>
      </c>
      <c r="L16" s="6">
        <v>147980.34238999995</v>
      </c>
      <c r="M16" s="6">
        <v>133969.46621000004</v>
      </c>
    </row>
    <row r="17" spans="1:13" x14ac:dyDescent="0.25">
      <c r="A17" s="7" t="s">
        <v>20</v>
      </c>
      <c r="B17" s="9">
        <f>B15/B16</f>
        <v>0.20709648377350492</v>
      </c>
      <c r="C17" s="9">
        <f>C15/C16</f>
        <v>0.21284574697684855</v>
      </c>
      <c r="D17" s="9">
        <f t="shared" ref="D17:J17" si="8">D15/D16</f>
        <v>0.2185467016483284</v>
      </c>
      <c r="E17" s="9">
        <f t="shared" si="8"/>
        <v>0.21493722407868307</v>
      </c>
      <c r="F17" s="9">
        <f t="shared" si="8"/>
        <v>0.23149681264972466</v>
      </c>
      <c r="G17" s="9">
        <f t="shared" si="8"/>
        <v>0.20887375415888776</v>
      </c>
      <c r="H17" s="11"/>
      <c r="I17" s="9">
        <f t="shared" si="8"/>
        <v>0.20709648377350492</v>
      </c>
      <c r="J17" s="9">
        <f t="shared" si="8"/>
        <v>0.19621018338658591</v>
      </c>
      <c r="K17" s="9">
        <f t="shared" ref="K17" si="9">K15/K16</f>
        <v>0.22594954876416021</v>
      </c>
      <c r="L17" s="9">
        <f t="shared" ref="L17" si="10">L15/L16</f>
        <v>0.19994550824880011</v>
      </c>
      <c r="M17" s="9">
        <f t="shared" ref="M17" si="11">M15/M16</f>
        <v>0.23149681264972466</v>
      </c>
    </row>
    <row r="19" spans="1:13" x14ac:dyDescent="0.25">
      <c r="A19" s="1" t="s">
        <v>4</v>
      </c>
      <c r="B19" s="1"/>
    </row>
    <row r="20" spans="1:13" x14ac:dyDescent="0.25">
      <c r="A20" t="s">
        <v>39</v>
      </c>
      <c r="B20" s="38"/>
      <c r="C20" s="3">
        <v>702860.38492999994</v>
      </c>
      <c r="D20" s="13"/>
      <c r="G20" s="3">
        <v>631547.89896000002</v>
      </c>
      <c r="I20" s="3">
        <v>207792.94305</v>
      </c>
      <c r="J20" s="3">
        <v>189990.12922</v>
      </c>
      <c r="K20" s="3">
        <v>178200.75132000001</v>
      </c>
      <c r="L20" s="3">
        <v>176087.52030999999</v>
      </c>
      <c r="M20" s="3">
        <v>158581.98408000002</v>
      </c>
    </row>
    <row r="21" spans="1:13" x14ac:dyDescent="0.25">
      <c r="A21" t="s">
        <v>41</v>
      </c>
      <c r="B21" s="38"/>
      <c r="C21" s="3">
        <v>10446761.581924399</v>
      </c>
      <c r="G21" s="3">
        <v>9246787.3300482538</v>
      </c>
      <c r="I21" s="3">
        <v>11773240.525440002</v>
      </c>
      <c r="J21" s="3">
        <v>11484294.054526666</v>
      </c>
      <c r="K21" s="3">
        <v>10467667.818623334</v>
      </c>
      <c r="L21" s="3">
        <v>10347451.506719999</v>
      </c>
      <c r="M21" s="3">
        <v>9617053.1937035564</v>
      </c>
    </row>
    <row r="22" spans="1:13" x14ac:dyDescent="0.25">
      <c r="A22" s="5" t="s">
        <v>42</v>
      </c>
      <c r="B22" s="39"/>
      <c r="C22" s="16">
        <v>1.0740860215053764E-2</v>
      </c>
      <c r="D22" s="14"/>
      <c r="E22" s="14"/>
      <c r="F22" s="14"/>
      <c r="G22" s="16">
        <v>8.753225806451612E-3</v>
      </c>
      <c r="H22" s="13"/>
      <c r="I22" s="13">
        <v>1.2898412698412702E-2</v>
      </c>
      <c r="J22" s="16">
        <v>1.2166666666666666E-2</v>
      </c>
      <c r="K22" s="16">
        <v>1.0533333333333334E-2</v>
      </c>
      <c r="L22" s="16">
        <v>1.03E-2</v>
      </c>
      <c r="M22" s="16">
        <v>1.01E-2</v>
      </c>
    </row>
    <row r="23" spans="1:13" x14ac:dyDescent="0.25">
      <c r="A23" s="7" t="s">
        <v>4</v>
      </c>
      <c r="B23" s="40"/>
      <c r="C23" s="9">
        <f>C20/C21-C22</f>
        <v>5.6539356665374553E-2</v>
      </c>
      <c r="D23" s="15"/>
      <c r="E23" s="15"/>
      <c r="F23" s="15"/>
      <c r="G23" s="9">
        <f>G20/G21-G22</f>
        <v>5.9545944101753075E-2</v>
      </c>
      <c r="H23" s="13"/>
      <c r="I23" s="9">
        <f>(365/90)*I20/I21-I22</f>
        <v>5.8680505847479469E-2</v>
      </c>
      <c r="J23" s="9">
        <f>(365/92)*J20/J21-J22</f>
        <v>5.3467771375455976E-2</v>
      </c>
      <c r="K23" s="9">
        <f>(365/92)*K20/K21-K22</f>
        <v>5.7007223308843162E-2</v>
      </c>
      <c r="L23" s="9">
        <f>(365/91)*L20/L21-L22</f>
        <v>5.7956914127795411E-2</v>
      </c>
      <c r="M23" s="9">
        <f>(365/90)*M20/M21-M22</f>
        <v>5.6774751921694677E-2</v>
      </c>
    </row>
    <row r="24" spans="1:13" x14ac:dyDescent="0.25">
      <c r="B24" s="41"/>
    </row>
    <row r="25" spans="1:13" x14ac:dyDescent="0.25">
      <c r="A25" s="1" t="s">
        <v>5</v>
      </c>
      <c r="B25" s="42"/>
    </row>
    <row r="26" spans="1:13" x14ac:dyDescent="0.25">
      <c r="A26" t="s">
        <v>43</v>
      </c>
      <c r="B26" s="38"/>
      <c r="C26" s="3">
        <v>88646.495729999995</v>
      </c>
      <c r="G26" s="3">
        <v>92978.906570000006</v>
      </c>
      <c r="I26" s="3">
        <v>28087.98056</v>
      </c>
      <c r="J26" s="3">
        <v>26497.497539999993</v>
      </c>
      <c r="K26" s="3">
        <v>23708.268060000002</v>
      </c>
      <c r="L26" s="3">
        <v>20073.303369999998</v>
      </c>
      <c r="M26" s="3">
        <v>18367.426760000002</v>
      </c>
    </row>
    <row r="27" spans="1:13" x14ac:dyDescent="0.25">
      <c r="A27" t="s">
        <v>44</v>
      </c>
      <c r="B27" s="38"/>
      <c r="C27" s="3">
        <v>7311649.4076504018</v>
      </c>
      <c r="G27" s="3">
        <v>7917644.6032343823</v>
      </c>
      <c r="I27" s="3">
        <v>7987899.1563443299</v>
      </c>
      <c r="J27" s="3">
        <v>8150950.3762100004</v>
      </c>
      <c r="K27" s="3">
        <v>7446887.7670999998</v>
      </c>
      <c r="L27" s="3">
        <v>6909183.6877633352</v>
      </c>
      <c r="M27" s="3">
        <v>6823446.9733586675</v>
      </c>
    </row>
    <row r="28" spans="1:13" x14ac:dyDescent="0.25">
      <c r="A28" s="5" t="s">
        <v>42</v>
      </c>
      <c r="B28" s="39"/>
      <c r="C28" s="16">
        <v>1.0740860215053764E-2</v>
      </c>
      <c r="D28" s="14"/>
      <c r="E28" s="14"/>
      <c r="F28" s="14"/>
      <c r="G28" s="16">
        <v>8.753225806451612E-3</v>
      </c>
      <c r="H28" s="13"/>
      <c r="I28" s="13">
        <v>1.2898412698412702E-2</v>
      </c>
      <c r="J28" s="16">
        <v>1.2166666666666666E-2</v>
      </c>
      <c r="K28" s="16">
        <v>1.0533333333333334E-2</v>
      </c>
      <c r="L28" s="16">
        <v>1.03E-2</v>
      </c>
      <c r="M28" s="16">
        <v>1.01E-2</v>
      </c>
    </row>
    <row r="29" spans="1:13" x14ac:dyDescent="0.25">
      <c r="A29" s="7" t="s">
        <v>5</v>
      </c>
      <c r="B29" s="40"/>
      <c r="C29" s="9">
        <f>C28-C26/C27</f>
        <v>-1.3831477601161692E-3</v>
      </c>
      <c r="D29" s="15"/>
      <c r="E29" s="15"/>
      <c r="F29" s="15"/>
      <c r="G29" s="9">
        <f>G28-G26/G27</f>
        <v>-2.990027550994848E-3</v>
      </c>
      <c r="H29" s="13"/>
      <c r="I29" s="9">
        <f>I28-(365/92)*I26/I27</f>
        <v>-1.0521902885976611E-3</v>
      </c>
      <c r="J29" s="9">
        <f>J28-(365/92)*J26/J27</f>
        <v>-7.3071786827083769E-4</v>
      </c>
      <c r="K29" s="9">
        <f t="shared" ref="K29" si="12">K28-(365/92)*K26/K27</f>
        <v>-2.0974433728692052E-3</v>
      </c>
      <c r="L29" s="9">
        <f>L28-(365/91)*L26/L27</f>
        <v>-1.3531565623178376E-3</v>
      </c>
      <c r="M29" s="9">
        <f>M28-(365/90)*M26/M27</f>
        <v>-8.1678735522025016E-4</v>
      </c>
    </row>
    <row r="30" spans="1:13" x14ac:dyDescent="0.25">
      <c r="B30" s="41"/>
    </row>
    <row r="31" spans="1:13" x14ac:dyDescent="0.25">
      <c r="A31" s="1" t="s">
        <v>6</v>
      </c>
      <c r="B31" s="42"/>
    </row>
    <row r="32" spans="1:13" x14ac:dyDescent="0.25">
      <c r="A32" t="s">
        <v>4</v>
      </c>
      <c r="B32" s="43"/>
      <c r="C32" s="13">
        <f>C23</f>
        <v>5.6539356665374553E-2</v>
      </c>
      <c r="D32" s="13"/>
      <c r="E32" s="13"/>
      <c r="F32" s="13"/>
      <c r="G32" s="13">
        <f>G23</f>
        <v>5.9545944101753075E-2</v>
      </c>
      <c r="H32" s="13"/>
      <c r="I32" s="13">
        <v>5.8670523660556279E-2</v>
      </c>
      <c r="J32" s="13">
        <f>J23</f>
        <v>5.3467771375455976E-2</v>
      </c>
      <c r="K32" s="13">
        <f t="shared" ref="K32:M32" si="13">K23</f>
        <v>5.7007223308843162E-2</v>
      </c>
      <c r="L32" s="13">
        <f t="shared" si="13"/>
        <v>5.7956914127795411E-2</v>
      </c>
      <c r="M32" s="13">
        <f t="shared" si="13"/>
        <v>5.6774751921694677E-2</v>
      </c>
    </row>
    <row r="33" spans="1:13" x14ac:dyDescent="0.25">
      <c r="A33" s="5" t="s">
        <v>5</v>
      </c>
      <c r="B33" s="44"/>
      <c r="C33" s="14">
        <f>C29</f>
        <v>-1.3831477601161692E-3</v>
      </c>
      <c r="D33" s="14"/>
      <c r="E33" s="14"/>
      <c r="F33" s="14"/>
      <c r="G33" s="14">
        <f>G29</f>
        <v>-2.990027550994848E-3</v>
      </c>
      <c r="H33" s="13"/>
      <c r="I33" s="13">
        <v>-1.3622036883090029E-3</v>
      </c>
      <c r="J33" s="14">
        <f>J29</f>
        <v>-7.3071786827083769E-4</v>
      </c>
      <c r="K33" s="14">
        <f t="shared" ref="K33:M33" si="14">K29</f>
        <v>-2.0974433728692052E-3</v>
      </c>
      <c r="L33" s="14">
        <f t="shared" si="14"/>
        <v>-1.3531565623178376E-3</v>
      </c>
      <c r="M33" s="14">
        <f t="shared" si="14"/>
        <v>-8.1678735522025016E-4</v>
      </c>
    </row>
    <row r="34" spans="1:13" x14ac:dyDescent="0.25">
      <c r="A34" s="7" t="s">
        <v>6</v>
      </c>
      <c r="B34" s="45"/>
      <c r="C34" s="15">
        <f>C32+C33</f>
        <v>5.515620890525838E-2</v>
      </c>
      <c r="D34" s="15"/>
      <c r="E34" s="15"/>
      <c r="F34" s="15"/>
      <c r="G34" s="15">
        <f>G32+G33</f>
        <v>5.6555916550758228E-2</v>
      </c>
      <c r="H34" s="13"/>
      <c r="I34" s="15">
        <f>I32+I33</f>
        <v>5.7308319972247279E-2</v>
      </c>
      <c r="J34" s="15">
        <f>J32+J33</f>
        <v>5.273705350718514E-2</v>
      </c>
      <c r="K34" s="15">
        <f t="shared" ref="K34:M34" si="15">K32+K33</f>
        <v>5.4909779935973957E-2</v>
      </c>
      <c r="L34" s="15">
        <f t="shared" si="15"/>
        <v>5.6603757565477572E-2</v>
      </c>
      <c r="M34" s="15">
        <f t="shared" si="15"/>
        <v>5.5957964566474429E-2</v>
      </c>
    </row>
    <row r="36" spans="1:13" x14ac:dyDescent="0.25">
      <c r="A36" s="1" t="s">
        <v>10</v>
      </c>
      <c r="B36" s="1"/>
      <c r="C36" s="4"/>
    </row>
    <row r="37" spans="1:13" x14ac:dyDescent="0.25">
      <c r="A37" t="s">
        <v>45</v>
      </c>
      <c r="B37" s="3">
        <v>8599452.2410400007</v>
      </c>
      <c r="C37" s="3">
        <v>7622722.7657399997</v>
      </c>
      <c r="D37" s="3">
        <v>8221356.0236999998</v>
      </c>
      <c r="E37" s="3">
        <v>8062416.8315700004</v>
      </c>
      <c r="F37" s="3">
        <v>6334170.33311</v>
      </c>
      <c r="G37" s="3">
        <v>7083931.4525799993</v>
      </c>
      <c r="H37" s="3"/>
      <c r="I37" s="3">
        <v>8599452.2410400007</v>
      </c>
      <c r="J37" s="3">
        <v>7622722.7657399997</v>
      </c>
      <c r="K37" s="3">
        <v>8221356.0236999998</v>
      </c>
      <c r="L37" s="3">
        <v>8062416.8315700004</v>
      </c>
      <c r="M37" s="3">
        <v>6334170.33311</v>
      </c>
    </row>
    <row r="38" spans="1:13" x14ac:dyDescent="0.25">
      <c r="A38" s="5" t="s">
        <v>46</v>
      </c>
      <c r="B38" s="3">
        <v>12064527.30549</v>
      </c>
      <c r="C38" s="6">
        <v>11652698.24437</v>
      </c>
      <c r="D38" s="6">
        <v>10689622.833270002</v>
      </c>
      <c r="E38" s="6">
        <v>10489261.202550001</v>
      </c>
      <c r="F38" s="6">
        <v>10065877.572609998</v>
      </c>
      <c r="G38" s="6">
        <v>9447670.1434599999</v>
      </c>
      <c r="H38" s="3"/>
      <c r="I38" s="3">
        <v>12064527.30549</v>
      </c>
      <c r="J38" s="6">
        <v>11652698.24437</v>
      </c>
      <c r="K38" s="6">
        <v>10689622.833270002</v>
      </c>
      <c r="L38" s="6">
        <v>10489261.202550001</v>
      </c>
      <c r="M38" s="6">
        <v>10065877.572609998</v>
      </c>
    </row>
    <row r="39" spans="1:13" x14ac:dyDescent="0.25">
      <c r="A39" s="7" t="s">
        <v>10</v>
      </c>
      <c r="B39" s="9">
        <f>B37/B38</f>
        <v>0.71278816179783466</v>
      </c>
      <c r="C39" s="9">
        <f>C37/C38</f>
        <v>0.65415945782539398</v>
      </c>
      <c r="D39" s="9">
        <f t="shared" ref="D39:G39" si="16">D37/D38</f>
        <v>0.76909692249497741</v>
      </c>
      <c r="E39" s="9">
        <f t="shared" si="16"/>
        <v>0.76863533816947749</v>
      </c>
      <c r="F39" s="9">
        <f t="shared" si="16"/>
        <v>0.62927154512049188</v>
      </c>
      <c r="G39" s="9">
        <f t="shared" si="16"/>
        <v>0.74980723765887813</v>
      </c>
      <c r="I39" s="9">
        <f>I37/I38</f>
        <v>0.71278816179783466</v>
      </c>
      <c r="J39" s="9">
        <f>J37/J38</f>
        <v>0.65415945782539398</v>
      </c>
      <c r="K39" s="9">
        <f t="shared" ref="K39" si="17">K37/K38</f>
        <v>0.76909692249497741</v>
      </c>
      <c r="L39" s="9">
        <f t="shared" ref="L39" si="18">L37/L38</f>
        <v>0.76863533816947749</v>
      </c>
      <c r="M39" s="9">
        <f t="shared" ref="M39" si="19">M37/M38</f>
        <v>0.62927154512049188</v>
      </c>
    </row>
    <row r="41" spans="1:13" x14ac:dyDescent="0.25">
      <c r="A41" s="1" t="s">
        <v>11</v>
      </c>
      <c r="B41" s="1"/>
    </row>
    <row r="42" spans="1:13" x14ac:dyDescent="0.25">
      <c r="A42" t="s">
        <v>47</v>
      </c>
      <c r="B42" s="3">
        <v>768197.38052000001</v>
      </c>
      <c r="C42" s="3">
        <v>68065.220709999994</v>
      </c>
      <c r="D42" s="3">
        <v>66075.752739999996</v>
      </c>
      <c r="E42" s="3">
        <v>66018.082500000004</v>
      </c>
      <c r="F42" s="3">
        <v>62033.717990000005</v>
      </c>
      <c r="G42" s="3">
        <v>61014.10269</v>
      </c>
      <c r="H42" s="3"/>
      <c r="I42" s="3">
        <v>768197.38052000001</v>
      </c>
      <c r="J42" s="3">
        <v>68065.220709999994</v>
      </c>
      <c r="K42" s="3">
        <v>66075.752739999996</v>
      </c>
      <c r="L42" s="3">
        <v>66018.082500000004</v>
      </c>
      <c r="M42" s="3">
        <v>62033.717990000005</v>
      </c>
    </row>
    <row r="43" spans="1:13" x14ac:dyDescent="0.25">
      <c r="A43" t="s">
        <v>48</v>
      </c>
      <c r="B43" s="3">
        <v>183299.35696</v>
      </c>
      <c r="C43" s="3">
        <v>251525.62831999999</v>
      </c>
      <c r="D43" s="3">
        <v>1228497.92539</v>
      </c>
      <c r="E43" s="3">
        <v>1069635.3478899999</v>
      </c>
      <c r="F43" s="3">
        <v>343091.69200000004</v>
      </c>
      <c r="G43" s="3">
        <v>295532.92336000002</v>
      </c>
      <c r="H43" s="3"/>
      <c r="I43" s="3">
        <v>183299.35696</v>
      </c>
      <c r="J43" s="3">
        <v>251525.62831999999</v>
      </c>
      <c r="K43" s="3">
        <v>1228497.92539</v>
      </c>
      <c r="L43" s="3">
        <v>1069635.3478899999</v>
      </c>
      <c r="M43" s="3">
        <v>343091.69200000004</v>
      </c>
    </row>
    <row r="44" spans="1:13" x14ac:dyDescent="0.25">
      <c r="A44" t="s">
        <v>49</v>
      </c>
      <c r="B44" s="3">
        <v>3786603.6889499994</v>
      </c>
      <c r="C44" s="3">
        <v>3484630.45682</v>
      </c>
      <c r="D44" s="3">
        <v>4176953.0091499994</v>
      </c>
      <c r="E44" s="3">
        <v>3988863.2777900007</v>
      </c>
      <c r="F44" s="3">
        <v>2802208.7684900002</v>
      </c>
      <c r="G44" s="3">
        <v>3173886.4190199999</v>
      </c>
      <c r="H44" s="3"/>
      <c r="I44" s="3">
        <v>3786603.6889499994</v>
      </c>
      <c r="J44" s="3">
        <v>3484630.45682</v>
      </c>
      <c r="K44" s="3">
        <v>4176953.0091499994</v>
      </c>
      <c r="L44" s="3">
        <v>3988863.2777900007</v>
      </c>
      <c r="M44" s="3">
        <v>2802208.7684900002</v>
      </c>
    </row>
    <row r="45" spans="1:13" x14ac:dyDescent="0.25">
      <c r="A45" s="7" t="s">
        <v>11</v>
      </c>
      <c r="B45" s="8">
        <f t="shared" ref="B45:G45" si="20">B42+B43+B44</f>
        <v>4738100.4264299991</v>
      </c>
      <c r="C45" s="8">
        <f t="shared" si="20"/>
        <v>3804221.3058500001</v>
      </c>
      <c r="D45" s="8">
        <f t="shared" si="20"/>
        <v>5471526.6872799993</v>
      </c>
      <c r="E45" s="8">
        <f t="shared" si="20"/>
        <v>5124516.708180001</v>
      </c>
      <c r="F45" s="8">
        <f t="shared" si="20"/>
        <v>3207334.1784800002</v>
      </c>
      <c r="G45" s="8">
        <f t="shared" si="20"/>
        <v>3530433.4450699999</v>
      </c>
      <c r="H45" s="3"/>
      <c r="I45" s="8">
        <f>I42+I43+I44</f>
        <v>4738100.4264299991</v>
      </c>
      <c r="J45" s="8">
        <f>J42+J43+J44</f>
        <v>3804221.3058500001</v>
      </c>
      <c r="K45" s="34">
        <f>K42+K43+K44</f>
        <v>5471526.6872799993</v>
      </c>
      <c r="L45" s="8">
        <f>L42+L43+L44</f>
        <v>5124516.708180001</v>
      </c>
      <c r="M45" s="8">
        <f>M42+M43+M44</f>
        <v>3207334.1784800002</v>
      </c>
    </row>
    <row r="47" spans="1:13" x14ac:dyDescent="0.25">
      <c r="A47" s="1" t="s">
        <v>50</v>
      </c>
      <c r="B47" s="1"/>
    </row>
    <row r="48" spans="1:13" x14ac:dyDescent="0.25">
      <c r="A48" t="s">
        <v>46</v>
      </c>
      <c r="B48" s="3">
        <v>12064527.30549</v>
      </c>
      <c r="C48" s="3">
        <v>11652698.24437</v>
      </c>
      <c r="D48" s="3">
        <v>10689622.833270002</v>
      </c>
      <c r="E48" s="3">
        <v>10489261.202550001</v>
      </c>
      <c r="F48" s="3">
        <v>10065877.572609998</v>
      </c>
      <c r="G48" s="3">
        <v>9447670.1434599999</v>
      </c>
      <c r="H48" s="3"/>
      <c r="I48" s="3">
        <v>12064527.30549</v>
      </c>
      <c r="J48" s="3">
        <v>11652698.24437</v>
      </c>
      <c r="K48" s="3">
        <v>10689622.833270002</v>
      </c>
      <c r="L48" s="3">
        <v>10489261.202550001</v>
      </c>
      <c r="M48" s="3">
        <v>10065877.572609998</v>
      </c>
    </row>
    <row r="49" spans="1:13" x14ac:dyDescent="0.25">
      <c r="A49" t="s">
        <v>62</v>
      </c>
      <c r="B49" s="3">
        <v>10065877.572609998</v>
      </c>
      <c r="C49" s="3">
        <v>9447670.1434599999</v>
      </c>
      <c r="D49" s="3">
        <v>9869508.6799800005</v>
      </c>
      <c r="E49" s="3">
        <v>9543982.2555199992</v>
      </c>
      <c r="F49" s="3">
        <v>8973437.0590400007</v>
      </c>
      <c r="G49" s="3">
        <v>8753760.9397400003</v>
      </c>
      <c r="H49" s="3"/>
      <c r="I49" s="3">
        <v>10065877.572609998</v>
      </c>
      <c r="J49" s="3">
        <v>9447670.1434599999</v>
      </c>
      <c r="K49" s="3">
        <v>9869508.6799800005</v>
      </c>
      <c r="L49" s="3">
        <v>9543982.2555199992</v>
      </c>
      <c r="M49" s="3">
        <v>8973437.0590400007</v>
      </c>
    </row>
    <row r="50" spans="1:13" x14ac:dyDescent="0.25">
      <c r="A50" s="5" t="s">
        <v>2</v>
      </c>
      <c r="B50" s="3">
        <f>B48-B49</f>
        <v>1998649.7328800019</v>
      </c>
      <c r="C50" s="6">
        <f>C48-C49</f>
        <v>2205028.1009100005</v>
      </c>
      <c r="D50" s="6">
        <f t="shared" ref="D50:G50" si="21">D48-D49</f>
        <v>820114.15329000168</v>
      </c>
      <c r="E50" s="6">
        <f t="shared" si="21"/>
        <v>945278.94703000225</v>
      </c>
      <c r="F50" s="6">
        <f t="shared" si="21"/>
        <v>1092440.5135699976</v>
      </c>
      <c r="G50" s="6">
        <f t="shared" si="21"/>
        <v>693909.20371999964</v>
      </c>
      <c r="I50" s="3">
        <f>I48-I49</f>
        <v>1998649.7328800019</v>
      </c>
      <c r="J50" s="6">
        <f>J48-J49</f>
        <v>2205028.1009100005</v>
      </c>
      <c r="K50" s="6">
        <f t="shared" ref="K50" si="22">K48-K49</f>
        <v>820114.15329000168</v>
      </c>
      <c r="L50" s="6">
        <f t="shared" ref="L50" si="23">L48-L49</f>
        <v>945278.94703000225</v>
      </c>
      <c r="M50" s="6">
        <f t="shared" ref="M50" si="24">M48-M49</f>
        <v>1092440.5135699976</v>
      </c>
    </row>
    <row r="51" spans="1:13" x14ac:dyDescent="0.25">
      <c r="A51" s="7" t="s">
        <v>50</v>
      </c>
      <c r="B51" s="9">
        <f>B50/B49</f>
        <v>0.19855692844094155</v>
      </c>
      <c r="C51" s="9">
        <f>C50/C49</f>
        <v>0.23339384921650724</v>
      </c>
      <c r="D51" s="9">
        <f t="shared" ref="D51:M51" si="25">D50/D49</f>
        <v>8.3095742643560205E-2</v>
      </c>
      <c r="E51" s="9">
        <f t="shared" si="25"/>
        <v>9.9044499635702554E-2</v>
      </c>
      <c r="F51" s="9">
        <f t="shared" si="25"/>
        <v>0.12174159203239227</v>
      </c>
      <c r="G51" s="9">
        <f t="shared" si="25"/>
        <v>7.9269837101652654E-2</v>
      </c>
      <c r="H51" s="11"/>
      <c r="I51" s="9">
        <f t="shared" si="25"/>
        <v>0.19855692844094155</v>
      </c>
      <c r="J51" s="9">
        <f t="shared" si="25"/>
        <v>0.23339384921650724</v>
      </c>
      <c r="K51" s="9">
        <f t="shared" si="25"/>
        <v>8.3095742643560205E-2</v>
      </c>
      <c r="L51" s="9">
        <f t="shared" si="25"/>
        <v>9.9044499635702554E-2</v>
      </c>
      <c r="M51" s="9">
        <f t="shared" si="25"/>
        <v>0.12174159203239227</v>
      </c>
    </row>
    <row r="53" spans="1:13" x14ac:dyDescent="0.25">
      <c r="A53" s="1" t="s">
        <v>23</v>
      </c>
      <c r="B53" s="1"/>
    </row>
    <row r="54" spans="1:13" x14ac:dyDescent="0.25">
      <c r="A54" t="s">
        <v>45</v>
      </c>
      <c r="B54" s="3">
        <v>8599452.2410400007</v>
      </c>
      <c r="C54" s="3">
        <v>7622722.7657399997</v>
      </c>
      <c r="D54" s="3">
        <v>8221356.0236999998</v>
      </c>
      <c r="E54" s="3">
        <v>8062416.8315700004</v>
      </c>
      <c r="F54" s="3">
        <v>6334170.33311</v>
      </c>
      <c r="G54" s="3">
        <v>7083931.4525799993</v>
      </c>
      <c r="H54" s="3"/>
      <c r="I54" s="3">
        <v>8599452.2410400007</v>
      </c>
      <c r="J54" s="3">
        <v>7622722.7657399997</v>
      </c>
      <c r="K54" s="3">
        <v>8221356.0236999998</v>
      </c>
      <c r="L54" s="3">
        <v>8062416.8315700004</v>
      </c>
      <c r="M54" s="3">
        <v>6334170.33311</v>
      </c>
    </row>
    <row r="55" spans="1:13" x14ac:dyDescent="0.25">
      <c r="A55" t="s">
        <v>101</v>
      </c>
      <c r="B55" s="3">
        <v>6334170.33311</v>
      </c>
      <c r="C55" s="3">
        <v>7083931.4525799993</v>
      </c>
      <c r="D55" s="3">
        <v>7679671.3128800001</v>
      </c>
      <c r="E55" s="3">
        <v>8162773.5941299992</v>
      </c>
      <c r="F55" s="3">
        <v>8524793.1328699999</v>
      </c>
      <c r="G55" s="3">
        <v>7646799.9001600007</v>
      </c>
      <c r="H55" s="3"/>
      <c r="I55" s="3">
        <v>6334170.33311</v>
      </c>
      <c r="J55" s="3">
        <v>7083931.4525799993</v>
      </c>
      <c r="K55" s="3">
        <v>7679671.3128800001</v>
      </c>
      <c r="L55" s="3">
        <v>8162773.5941299992</v>
      </c>
      <c r="M55" s="3">
        <v>8524793.1328699999</v>
      </c>
    </row>
    <row r="56" spans="1:13" x14ac:dyDescent="0.25">
      <c r="A56" s="5" t="s">
        <v>51</v>
      </c>
      <c r="B56" s="3">
        <f>B54-B55</f>
        <v>2265281.9079300007</v>
      </c>
      <c r="C56" s="6">
        <f>C54-C55</f>
        <v>538791.31316000037</v>
      </c>
      <c r="D56" s="6">
        <f t="shared" ref="D56" si="26">D54-D55</f>
        <v>541684.71081999969</v>
      </c>
      <c r="E56" s="6">
        <f t="shared" ref="E56" si="27">E54-E55</f>
        <v>-100356.76255999878</v>
      </c>
      <c r="F56" s="6">
        <f t="shared" ref="F56" si="28">F54-F55</f>
        <v>-2190622.7997599998</v>
      </c>
      <c r="G56" s="6">
        <f t="shared" ref="G56" si="29">G54-G55</f>
        <v>-562868.44758000132</v>
      </c>
      <c r="I56" s="3">
        <f>I54-I55</f>
        <v>2265281.9079300007</v>
      </c>
      <c r="J56" s="6">
        <f>J54-J55</f>
        <v>538791.31316000037</v>
      </c>
      <c r="K56" s="6">
        <f t="shared" ref="K56" si="30">K54-K55</f>
        <v>541684.71081999969</v>
      </c>
      <c r="L56" s="6">
        <f t="shared" ref="L56" si="31">L54-L55</f>
        <v>-100356.76255999878</v>
      </c>
      <c r="M56" s="6">
        <f t="shared" ref="M56" si="32">M54-M55</f>
        <v>-2190622.7997599998</v>
      </c>
    </row>
    <row r="57" spans="1:13" x14ac:dyDescent="0.25">
      <c r="A57" s="7" t="s">
        <v>23</v>
      </c>
      <c r="B57" s="9">
        <f>B56/B55</f>
        <v>0.35762882726549211</v>
      </c>
      <c r="C57" s="9">
        <f>C56/C55</f>
        <v>7.6058233590581989E-2</v>
      </c>
      <c r="D57" s="9">
        <f t="shared" ref="D57" si="33">D56/D55</f>
        <v>7.0534882125945983E-2</v>
      </c>
      <c r="E57" s="9">
        <f t="shared" ref="E57" si="34">E56/E55</f>
        <v>-1.2294443965978325E-2</v>
      </c>
      <c r="F57" s="9">
        <f t="shared" ref="F57" si="35">F56/F55</f>
        <v>-0.25697078692893677</v>
      </c>
      <c r="G57" s="9">
        <f t="shared" ref="G57" si="36">G56/G55</f>
        <v>-7.3608366235426659E-2</v>
      </c>
      <c r="H57" s="11"/>
      <c r="I57" s="9">
        <f>I56/I55</f>
        <v>0.35762882726549211</v>
      </c>
      <c r="J57" s="9">
        <f>J56/J55</f>
        <v>7.6058233590581989E-2</v>
      </c>
      <c r="K57" s="9">
        <f t="shared" ref="K57" si="37">K56/K55</f>
        <v>7.0534882125945983E-2</v>
      </c>
      <c r="L57" s="9">
        <f t="shared" ref="L57" si="38">L56/L55</f>
        <v>-1.2294443965978325E-2</v>
      </c>
      <c r="M57" s="9">
        <f t="shared" ref="M57" si="39">M56/M55</f>
        <v>-0.25697078692893677</v>
      </c>
    </row>
    <row r="59" spans="1:13" x14ac:dyDescent="0.25">
      <c r="A59" s="1" t="s">
        <v>60</v>
      </c>
      <c r="B59" s="1"/>
    </row>
    <row r="60" spans="1:13" x14ac:dyDescent="0.25">
      <c r="A60" t="s">
        <v>52</v>
      </c>
      <c r="B60" s="3">
        <f>610868861.52/1000</f>
        <v>610868.86152000003</v>
      </c>
      <c r="C60" s="3">
        <v>593491.11906000017</v>
      </c>
      <c r="D60" s="3">
        <v>671930.47348000063</v>
      </c>
      <c r="E60" s="3">
        <v>659750.1611899999</v>
      </c>
      <c r="F60" s="3">
        <v>811877.9841499998</v>
      </c>
      <c r="G60" s="3">
        <v>826903.33932000014</v>
      </c>
      <c r="H60" s="3"/>
      <c r="I60" s="3">
        <v>610868.86152000003</v>
      </c>
      <c r="J60" s="3">
        <v>593491.11906000017</v>
      </c>
      <c r="K60" s="3">
        <v>671930.47348000063</v>
      </c>
      <c r="L60" s="3">
        <v>659750.1611899999</v>
      </c>
      <c r="M60" s="3">
        <v>811877.9841499998</v>
      </c>
    </row>
    <row r="61" spans="1:13" x14ac:dyDescent="0.25">
      <c r="A61" t="s">
        <v>57</v>
      </c>
      <c r="B61" s="3">
        <f>2612212263.59/1000</f>
        <v>2612212.2635900001</v>
      </c>
      <c r="C61" s="3">
        <v>2446157.8333599996</v>
      </c>
      <c r="D61" s="3">
        <v>2340624.402780009</v>
      </c>
      <c r="E61" s="3">
        <v>2639010.1642400003</v>
      </c>
      <c r="F61" s="3">
        <v>2225345.7036899994</v>
      </c>
      <c r="G61" s="3">
        <v>2452449.5615900005</v>
      </c>
      <c r="H61" s="3"/>
      <c r="I61" s="3">
        <v>2612212.2635900001</v>
      </c>
      <c r="J61" s="3">
        <v>2446157.8333599996</v>
      </c>
      <c r="K61" s="3">
        <v>2340624.402780009</v>
      </c>
      <c r="L61" s="3">
        <v>2639010.1642400003</v>
      </c>
      <c r="M61" s="3">
        <v>2225345.7036899994</v>
      </c>
    </row>
    <row r="62" spans="1:13" x14ac:dyDescent="0.25">
      <c r="A62" t="s">
        <v>53</v>
      </c>
      <c r="B62" s="3">
        <f>1285415844.48/1000</f>
        <v>1285415.84448</v>
      </c>
      <c r="C62" s="3">
        <v>1214574.7503</v>
      </c>
      <c r="D62" s="3">
        <v>1420014.3468299999</v>
      </c>
      <c r="E62" s="3">
        <v>1394869.1190200001</v>
      </c>
      <c r="F62" s="3">
        <v>1494844.0152999999</v>
      </c>
      <c r="G62" s="3">
        <v>1762248.6553900002</v>
      </c>
      <c r="H62" s="3"/>
      <c r="I62" s="3">
        <v>1285415.84448</v>
      </c>
      <c r="J62" s="3">
        <v>1214574.7503</v>
      </c>
      <c r="K62" s="3">
        <v>1420014.3468299999</v>
      </c>
      <c r="L62" s="3">
        <v>1394869.1190200001</v>
      </c>
      <c r="M62" s="3">
        <v>1494844.0152999999</v>
      </c>
    </row>
    <row r="63" spans="1:13" x14ac:dyDescent="0.25">
      <c r="A63" t="s">
        <v>55</v>
      </c>
      <c r="B63" s="3">
        <f>2934930399.96/1000</f>
        <v>2934930.3999600001</v>
      </c>
      <c r="C63" s="3">
        <v>2691338.43181</v>
      </c>
      <c r="D63" s="3">
        <v>2312605.2980800006</v>
      </c>
      <c r="E63" s="3">
        <v>1814157.0989999999</v>
      </c>
      <c r="F63" s="3">
        <v>1033563.5385499999</v>
      </c>
      <c r="G63" s="3">
        <v>1112237.1599000001</v>
      </c>
      <c r="H63" s="3"/>
      <c r="I63" s="3">
        <v>2934930.3999600001</v>
      </c>
      <c r="J63" s="3">
        <v>2691338.43181</v>
      </c>
      <c r="K63" s="3">
        <v>2312605.2980800006</v>
      </c>
      <c r="L63" s="3">
        <v>1814157.0989999999</v>
      </c>
      <c r="M63" s="3">
        <v>1033563.5385499999</v>
      </c>
    </row>
    <row r="64" spans="1:13" x14ac:dyDescent="0.25">
      <c r="A64" t="s">
        <v>54</v>
      </c>
      <c r="B64" s="3">
        <f>1124057026.89/1000</f>
        <v>1124057.0268900001</v>
      </c>
      <c r="C64" s="3">
        <v>648863.59814000002</v>
      </c>
      <c r="D64" s="3">
        <v>1461738.1980099995</v>
      </c>
      <c r="E64" s="3">
        <v>1545316.6159000001</v>
      </c>
      <c r="F64" s="3">
        <v>765026.69782999996</v>
      </c>
      <c r="G64" s="3">
        <v>916495.09390999994</v>
      </c>
      <c r="H64" s="3"/>
      <c r="I64" s="3">
        <v>1124057.0268900001</v>
      </c>
      <c r="J64" s="3">
        <v>648863.59814000002</v>
      </c>
      <c r="K64" s="3">
        <v>1461738.1980099995</v>
      </c>
      <c r="L64" s="3">
        <v>1545316.6159000001</v>
      </c>
      <c r="M64" s="3">
        <v>765026.69782999996</v>
      </c>
    </row>
    <row r="65" spans="1:13" x14ac:dyDescent="0.25">
      <c r="A65" s="5" t="s">
        <v>56</v>
      </c>
      <c r="B65" s="3">
        <f>SUM(B60:B64)</f>
        <v>8567484.3964400012</v>
      </c>
      <c r="C65" s="3">
        <v>7594425.7326699998</v>
      </c>
      <c r="D65" s="3">
        <v>8206912.7191800093</v>
      </c>
      <c r="E65" s="3">
        <v>8053103.1599999992</v>
      </c>
      <c r="F65" s="3">
        <v>6330657.9395199986</v>
      </c>
      <c r="G65" s="3">
        <v>7070333.8101100018</v>
      </c>
      <c r="H65" s="3"/>
      <c r="I65" s="3">
        <v>8567484.3964400012</v>
      </c>
      <c r="J65" s="3">
        <v>7594425.7326699998</v>
      </c>
      <c r="K65" s="3">
        <v>8206912.7191800093</v>
      </c>
      <c r="L65" s="3">
        <v>8053103.1599999992</v>
      </c>
      <c r="M65" s="3">
        <v>6330657.9395199986</v>
      </c>
    </row>
    <row r="66" spans="1:13" x14ac:dyDescent="0.25">
      <c r="A66" s="7" t="s">
        <v>9</v>
      </c>
      <c r="B66" s="9">
        <f>B63/B65</f>
        <v>0.34256617977378928</v>
      </c>
      <c r="C66" s="9">
        <f>C63/C65</f>
        <v>0.35438340258333084</v>
      </c>
      <c r="D66" s="9">
        <f t="shared" ref="D66:M66" si="40">D63/D65</f>
        <v>0.28178748540548187</v>
      </c>
      <c r="E66" s="9">
        <f t="shared" si="40"/>
        <v>0.22527429028985643</v>
      </c>
      <c r="F66" s="9">
        <f t="shared" si="40"/>
        <v>0.16326321030517824</v>
      </c>
      <c r="G66" s="9">
        <f>G63/G65</f>
        <v>0.15731041698619541</v>
      </c>
      <c r="H66" s="11"/>
      <c r="I66" s="9">
        <f t="shared" ref="I66" si="41">I63/I65</f>
        <v>0.34256617977378928</v>
      </c>
      <c r="J66" s="9">
        <f t="shared" si="40"/>
        <v>0.35438340258333084</v>
      </c>
      <c r="K66" s="9">
        <f t="shared" si="40"/>
        <v>0.28178748540548187</v>
      </c>
      <c r="L66" s="9">
        <f t="shared" si="40"/>
        <v>0.22527429028985643</v>
      </c>
      <c r="M66" s="9">
        <f t="shared" si="40"/>
        <v>0.16326321030517824</v>
      </c>
    </row>
    <row r="67" spans="1:13" x14ac:dyDescent="0.25">
      <c r="A67" s="7" t="s">
        <v>58</v>
      </c>
      <c r="B67" s="9">
        <f>B62/B65</f>
        <v>0.15003422066506727</v>
      </c>
      <c r="C67" s="9">
        <f>C62/C65</f>
        <v>0.15992976862952185</v>
      </c>
      <c r="D67" s="9">
        <f t="shared" ref="D67:M67" si="42">D62/D65</f>
        <v>0.17302661736749653</v>
      </c>
      <c r="E67" s="9">
        <f t="shared" si="42"/>
        <v>0.17320889740347004</v>
      </c>
      <c r="F67" s="9">
        <f t="shared" si="42"/>
        <v>0.2361277500033972</v>
      </c>
      <c r="G67" s="9">
        <f>G62/G65</f>
        <v>0.24924546743042431</v>
      </c>
      <c r="H67" s="11"/>
      <c r="I67" s="9">
        <f t="shared" ref="I67" si="43">I62/I65</f>
        <v>0.15003422066506727</v>
      </c>
      <c r="J67" s="9">
        <f t="shared" si="42"/>
        <v>0.15992976862952185</v>
      </c>
      <c r="K67" s="9">
        <f t="shared" si="42"/>
        <v>0.17302661736749653</v>
      </c>
      <c r="L67" s="9">
        <f t="shared" si="42"/>
        <v>0.17320889740347004</v>
      </c>
      <c r="M67" s="9">
        <f t="shared" si="42"/>
        <v>0.2361277500033972</v>
      </c>
    </row>
    <row r="69" spans="1:13" x14ac:dyDescent="0.25">
      <c r="A69" s="1" t="s">
        <v>83</v>
      </c>
      <c r="B69" s="1"/>
    </row>
    <row r="70" spans="1:13" x14ac:dyDescent="0.25">
      <c r="A70" t="s">
        <v>61</v>
      </c>
      <c r="B70" s="3"/>
      <c r="C70" s="3">
        <v>4553.0002399999976</v>
      </c>
      <c r="D70" s="3"/>
      <c r="E70" s="3"/>
      <c r="F70" s="3"/>
      <c r="G70" s="3">
        <v>11421.489740000001</v>
      </c>
      <c r="I70" s="3">
        <v>972.06506000000002</v>
      </c>
      <c r="J70" s="3">
        <v>9046.896289999997</v>
      </c>
      <c r="K70" s="3">
        <v>4033.9044700000022</v>
      </c>
      <c r="L70" s="3">
        <v>-5853.951070000001</v>
      </c>
      <c r="M70" s="3">
        <v>-2673.8494500000002</v>
      </c>
    </row>
    <row r="71" spans="1:13" x14ac:dyDescent="0.25">
      <c r="A71" t="s">
        <v>46</v>
      </c>
      <c r="B71" s="3"/>
      <c r="C71" s="3">
        <v>11652698.24437</v>
      </c>
      <c r="D71" s="3"/>
      <c r="E71" s="3"/>
      <c r="F71" s="3"/>
      <c r="G71" s="3">
        <v>9447670.1434599999</v>
      </c>
      <c r="I71" s="3">
        <v>12064527.30549</v>
      </c>
      <c r="J71" s="3">
        <v>11652698.24437</v>
      </c>
      <c r="K71" s="3">
        <v>10689622.833270002</v>
      </c>
      <c r="L71" s="3">
        <v>10489261.202550001</v>
      </c>
      <c r="M71" s="3">
        <v>10065877.572609998</v>
      </c>
    </row>
    <row r="72" spans="1:13" x14ac:dyDescent="0.25">
      <c r="A72" s="5" t="s">
        <v>63</v>
      </c>
      <c r="B72" s="3"/>
      <c r="C72" s="6">
        <f>(C71+G71)/2</f>
        <v>10550184.193915</v>
      </c>
      <c r="D72" s="6"/>
      <c r="E72" s="6"/>
      <c r="F72" s="6"/>
      <c r="G72" s="6">
        <v>9100715.5416000001</v>
      </c>
      <c r="I72" s="3">
        <f>(I71+J71)/2</f>
        <v>11858612.77493</v>
      </c>
      <c r="J72" s="6">
        <f>(J71+K71)/2</f>
        <v>11171160.538820002</v>
      </c>
      <c r="K72" s="6">
        <f t="shared" ref="K72:L72" si="44">(K71+L71)/2</f>
        <v>10589442.017910002</v>
      </c>
      <c r="L72" s="6">
        <f t="shared" si="44"/>
        <v>10277569.38758</v>
      </c>
      <c r="M72" s="6">
        <v>9756773.8580349982</v>
      </c>
    </row>
    <row r="73" spans="1:13" x14ac:dyDescent="0.25">
      <c r="A73" s="7" t="s">
        <v>83</v>
      </c>
      <c r="B73" s="10"/>
      <c r="C73" s="10">
        <f>C70/C72</f>
        <v>4.3155646918714637E-4</v>
      </c>
      <c r="D73" s="7"/>
      <c r="E73" s="7"/>
      <c r="F73" s="7"/>
      <c r="G73" s="10">
        <f>G70/G72</f>
        <v>1.2550100800087182E-3</v>
      </c>
      <c r="I73" s="10">
        <f>I70/I72</f>
        <v>8.197122871361637E-5</v>
      </c>
      <c r="J73" s="10">
        <f>J70/J72</f>
        <v>8.0984390641973634E-4</v>
      </c>
      <c r="K73" s="30">
        <f t="shared" ref="K73:M73" si="45">K70/K72</f>
        <v>3.8093645190912136E-4</v>
      </c>
      <c r="L73" s="30">
        <f t="shared" si="45"/>
        <v>-5.6958516641826312E-4</v>
      </c>
      <c r="M73" s="30">
        <f t="shared" si="45"/>
        <v>-2.7405057131646074E-4</v>
      </c>
    </row>
    <row r="75" spans="1:13" x14ac:dyDescent="0.25">
      <c r="A75" s="1" t="s">
        <v>8</v>
      </c>
      <c r="B75" s="1"/>
    </row>
    <row r="76" spans="1:13" x14ac:dyDescent="0.25">
      <c r="A76" t="s">
        <v>64</v>
      </c>
      <c r="B76" s="37">
        <v>169471</v>
      </c>
      <c r="C76" s="3">
        <v>144845.23877</v>
      </c>
      <c r="D76" s="3">
        <v>171074.06599999999</v>
      </c>
      <c r="E76" s="3">
        <v>123678.73277</v>
      </c>
      <c r="F76" s="3">
        <v>25666.532770000002</v>
      </c>
      <c r="G76" s="3">
        <v>105256.607</v>
      </c>
      <c r="I76" s="3">
        <v>169471</v>
      </c>
      <c r="J76" s="3">
        <v>144845.23877</v>
      </c>
      <c r="K76" s="3">
        <v>171074.06599999999</v>
      </c>
      <c r="L76" s="3">
        <v>123678.73277</v>
      </c>
      <c r="M76" s="3">
        <v>25666.532770000002</v>
      </c>
    </row>
    <row r="77" spans="1:13" x14ac:dyDescent="0.25">
      <c r="A77" t="s">
        <v>65</v>
      </c>
      <c r="B77" s="3">
        <v>21192</v>
      </c>
      <c r="C77" s="3">
        <v>21317</v>
      </c>
      <c r="D77" s="3">
        <v>10691.632</v>
      </c>
      <c r="E77" s="3">
        <v>678.73276999999996</v>
      </c>
      <c r="F77" s="3">
        <v>666.53300000000002</v>
      </c>
      <c r="G77" s="3">
        <v>632.91600000000005</v>
      </c>
      <c r="I77" s="3">
        <v>21192</v>
      </c>
      <c r="J77" s="3">
        <v>21105.238999999998</v>
      </c>
      <c r="K77" s="3">
        <v>10691.632</v>
      </c>
      <c r="L77" s="3">
        <v>678.73276999999996</v>
      </c>
      <c r="M77" s="3">
        <v>666.53300000000002</v>
      </c>
    </row>
    <row r="78" spans="1:13" x14ac:dyDescent="0.25">
      <c r="A78" t="s">
        <v>66</v>
      </c>
      <c r="B78" s="3">
        <f>B76-B77</f>
        <v>148279</v>
      </c>
      <c r="C78" s="3">
        <f>C76-C77</f>
        <v>123528.23877</v>
      </c>
      <c r="D78" s="3">
        <f t="shared" ref="D78:G78" si="46">D76-D77</f>
        <v>160382.43399999998</v>
      </c>
      <c r="E78" s="3">
        <f t="shared" si="46"/>
        <v>123000</v>
      </c>
      <c r="F78" s="3">
        <f t="shared" si="46"/>
        <v>24999.999770000002</v>
      </c>
      <c r="G78" s="3">
        <f t="shared" si="46"/>
        <v>104623.69100000001</v>
      </c>
      <c r="I78" s="3">
        <f>I76-I77</f>
        <v>148279</v>
      </c>
      <c r="J78" s="3">
        <f>J76-J77</f>
        <v>123739.99976999999</v>
      </c>
      <c r="K78" s="3">
        <f t="shared" ref="K78" si="47">K76-K77</f>
        <v>160382.43399999998</v>
      </c>
      <c r="L78" s="3">
        <f t="shared" ref="L78" si="48">L76-L77</f>
        <v>123000</v>
      </c>
      <c r="M78" s="3">
        <f t="shared" ref="M78" si="49">M76-M77</f>
        <v>24999.999770000002</v>
      </c>
    </row>
    <row r="79" spans="1:13" x14ac:dyDescent="0.25">
      <c r="A79" t="s">
        <v>46</v>
      </c>
      <c r="B79" s="3">
        <v>12064527.30549</v>
      </c>
      <c r="C79" s="3">
        <v>11652698.24437</v>
      </c>
      <c r="D79" s="3">
        <v>10689622.833270002</v>
      </c>
      <c r="E79" s="3">
        <v>10489261.202550001</v>
      </c>
      <c r="F79" s="3">
        <v>10065877.572609998</v>
      </c>
      <c r="G79" s="3">
        <v>9447670.1434599999</v>
      </c>
      <c r="I79" s="3">
        <v>12064527.30549</v>
      </c>
      <c r="J79" s="3">
        <v>11652698.24437</v>
      </c>
      <c r="K79" s="3">
        <v>10689622.833270002</v>
      </c>
      <c r="L79" s="3">
        <v>10489261.202550001</v>
      </c>
      <c r="M79" s="3">
        <v>10065877.572609998</v>
      </c>
    </row>
    <row r="80" spans="1:13" x14ac:dyDescent="0.25">
      <c r="A80" t="s">
        <v>67</v>
      </c>
      <c r="B80" s="3">
        <v>57478.513559999999</v>
      </c>
      <c r="C80" s="3">
        <v>55494.823400000001</v>
      </c>
      <c r="D80" s="3">
        <v>48060.285400000001</v>
      </c>
      <c r="E80" s="3">
        <v>74361.426900000006</v>
      </c>
      <c r="F80" s="3">
        <v>79544.75589</v>
      </c>
      <c r="G80" s="3">
        <v>85553.47464</v>
      </c>
      <c r="I80" s="3">
        <v>57478.513559999999</v>
      </c>
      <c r="J80" s="3">
        <v>55494.823400000001</v>
      </c>
      <c r="K80" s="3">
        <v>48060.285400000001</v>
      </c>
      <c r="L80" s="3">
        <v>74361.426900000006</v>
      </c>
      <c r="M80" s="3">
        <v>79544.75589</v>
      </c>
    </row>
    <row r="81" spans="1:13" x14ac:dyDescent="0.25">
      <c r="A81" s="5" t="s">
        <v>68</v>
      </c>
      <c r="B81" s="6">
        <f>B79+B80</f>
        <v>12122005.819050001</v>
      </c>
      <c r="C81" s="6">
        <f>C79+C80</f>
        <v>11708193.067770001</v>
      </c>
      <c r="D81" s="6">
        <f t="shared" ref="D81:G81" si="50">D79+D80</f>
        <v>10737683.118670002</v>
      </c>
      <c r="E81" s="6">
        <f t="shared" si="50"/>
        <v>10563622.629450001</v>
      </c>
      <c r="F81" s="6">
        <f t="shared" si="50"/>
        <v>10145422.328499999</v>
      </c>
      <c r="G81" s="6">
        <f t="shared" si="50"/>
        <v>9533223.6181000005</v>
      </c>
      <c r="I81" s="3">
        <f>I79+I80</f>
        <v>12122005.819050001</v>
      </c>
      <c r="J81" s="6">
        <f>J79+J80</f>
        <v>11708193.067770001</v>
      </c>
      <c r="K81" s="6">
        <f t="shared" ref="K81" si="51">K79+K80</f>
        <v>10737683.118670002</v>
      </c>
      <c r="L81" s="6">
        <f t="shared" ref="L81" si="52">L79+L80</f>
        <v>10563622.629450001</v>
      </c>
      <c r="M81" s="6">
        <f t="shared" ref="M81" si="53">M79+M80</f>
        <v>10145422.328499999</v>
      </c>
    </row>
    <row r="82" spans="1:13" x14ac:dyDescent="0.25">
      <c r="A82" s="7" t="s">
        <v>8</v>
      </c>
      <c r="B82" s="10">
        <f>B78/B81</f>
        <v>1.2232216533585248E-2</v>
      </c>
      <c r="C82" s="10">
        <f>C78/C81</f>
        <v>1.0550580952584836E-2</v>
      </c>
      <c r="D82" s="10">
        <f t="shared" ref="D82:G82" si="54">D78/D81</f>
        <v>1.4936409673064125E-2</v>
      </c>
      <c r="E82" s="10">
        <f t="shared" si="54"/>
        <v>1.1643732866516081E-2</v>
      </c>
      <c r="F82" s="10">
        <f t="shared" si="54"/>
        <v>2.4641655083959676E-3</v>
      </c>
      <c r="G82" s="10">
        <f t="shared" si="54"/>
        <v>1.0974639344592634E-2</v>
      </c>
      <c r="H82" s="31"/>
      <c r="I82" s="10">
        <f>I78/I81</f>
        <v>1.2232216533585248E-2</v>
      </c>
      <c r="J82" s="10">
        <f>J78/J81</f>
        <v>1.0568667518015922E-2</v>
      </c>
      <c r="K82" s="10">
        <f t="shared" ref="K82" si="55">K78/K81</f>
        <v>1.4936409673064125E-2</v>
      </c>
      <c r="L82" s="10">
        <f t="shared" ref="L82" si="56">L78/L81</f>
        <v>1.1643732866516081E-2</v>
      </c>
      <c r="M82" s="10">
        <f t="shared" ref="M82" si="57">M78/M81</f>
        <v>2.4641655083959676E-3</v>
      </c>
    </row>
    <row r="84" spans="1:13" x14ac:dyDescent="0.25">
      <c r="A84" s="1" t="s">
        <v>7</v>
      </c>
      <c r="B84" s="1"/>
    </row>
    <row r="85" spans="1:13" x14ac:dyDescent="0.25">
      <c r="A85" t="s">
        <v>69</v>
      </c>
      <c r="B85" s="38">
        <v>3730.1309999999999</v>
      </c>
      <c r="C85" s="3">
        <v>3730.1309999999999</v>
      </c>
      <c r="D85" s="3">
        <v>10336.166999999999</v>
      </c>
      <c r="E85" s="3">
        <v>41287.336000000003</v>
      </c>
      <c r="F85" s="3">
        <v>78916.485000000001</v>
      </c>
      <c r="G85" s="3">
        <v>85763.687999999995</v>
      </c>
      <c r="I85" s="3">
        <v>3730.1309999999999</v>
      </c>
      <c r="J85" s="3">
        <v>3730.1309999999999</v>
      </c>
      <c r="K85" s="3">
        <v>10336.166999999999</v>
      </c>
      <c r="L85" s="3">
        <v>41287.336000000003</v>
      </c>
      <c r="M85" s="3">
        <v>78916.485000000001</v>
      </c>
    </row>
    <row r="86" spans="1:13" x14ac:dyDescent="0.25">
      <c r="A86" t="s">
        <v>70</v>
      </c>
      <c r="B86" s="3">
        <v>3730.1309999999999</v>
      </c>
      <c r="C86" s="3">
        <v>3730.1309999999999</v>
      </c>
      <c r="D86" s="3">
        <v>4555.8810000000003</v>
      </c>
      <c r="E86" s="3">
        <v>41230.589999999997</v>
      </c>
      <c r="F86" s="3">
        <v>37915.199999999997</v>
      </c>
      <c r="G86" s="3">
        <v>37219.687000000005</v>
      </c>
      <c r="I86" s="3">
        <v>3730.1309999999999</v>
      </c>
      <c r="J86" s="3">
        <v>3730.1309999999999</v>
      </c>
      <c r="K86" s="3">
        <v>4555.8810000000003</v>
      </c>
      <c r="L86" s="3">
        <v>41230.589999999997</v>
      </c>
      <c r="M86" s="3">
        <v>37915.199999999997</v>
      </c>
    </row>
    <row r="87" spans="1:13" x14ac:dyDescent="0.25">
      <c r="A87" t="s">
        <v>71</v>
      </c>
      <c r="B87" s="3">
        <f>B85-B86</f>
        <v>0</v>
      </c>
      <c r="C87" s="3">
        <f>C85-C86</f>
        <v>0</v>
      </c>
      <c r="D87" s="3">
        <f t="shared" ref="D87" si="58">D85-D86</f>
        <v>5780.2859999999991</v>
      </c>
      <c r="E87" s="3">
        <f t="shared" ref="E87" si="59">E85-E86</f>
        <v>56.746000000006461</v>
      </c>
      <c r="F87" s="3">
        <f t="shared" ref="F87" si="60">F85-F86</f>
        <v>41001.285000000003</v>
      </c>
      <c r="G87" s="3">
        <f t="shared" ref="G87" si="61">G85-G86</f>
        <v>48544.000999999989</v>
      </c>
      <c r="I87" s="3">
        <f>I85-I86</f>
        <v>0</v>
      </c>
      <c r="J87" s="3">
        <f>J85-J86</f>
        <v>0</v>
      </c>
      <c r="K87" s="3">
        <f t="shared" ref="K87" si="62">K85-K86</f>
        <v>5780.2859999999991</v>
      </c>
      <c r="L87" s="3">
        <f t="shared" ref="L87" si="63">L85-L86</f>
        <v>56.746000000006461</v>
      </c>
      <c r="M87" s="3">
        <f t="shared" ref="M87" si="64">M85-M86</f>
        <v>41001.285000000003</v>
      </c>
    </row>
    <row r="88" spans="1:13" x14ac:dyDescent="0.25">
      <c r="A88" t="s">
        <v>46</v>
      </c>
      <c r="B88" s="3">
        <v>12064527.30549</v>
      </c>
      <c r="C88" s="3">
        <v>11652698.24437</v>
      </c>
      <c r="D88" s="3">
        <v>10689622.833270002</v>
      </c>
      <c r="E88" s="3">
        <v>10489261.202550001</v>
      </c>
      <c r="F88" s="3">
        <v>10065877.572609998</v>
      </c>
      <c r="G88" s="3">
        <v>9447670.1434599999</v>
      </c>
      <c r="I88" s="3">
        <v>12064527.30549</v>
      </c>
      <c r="J88" s="3">
        <v>11652698.24437</v>
      </c>
      <c r="K88" s="3">
        <v>10689622.833270002</v>
      </c>
      <c r="L88" s="3">
        <v>10489261.202550001</v>
      </c>
      <c r="M88" s="3">
        <v>10065877.572609998</v>
      </c>
    </row>
    <row r="89" spans="1:13" x14ac:dyDescent="0.25">
      <c r="A89" t="s">
        <v>67</v>
      </c>
      <c r="B89" s="27">
        <f>B80</f>
        <v>57478.513559999999</v>
      </c>
      <c r="C89" s="3">
        <v>55494.823400000001</v>
      </c>
      <c r="D89" s="3">
        <v>48060.285400000001</v>
      </c>
      <c r="E89" s="3">
        <v>74361.426900000006</v>
      </c>
      <c r="F89" s="3">
        <v>79544.75589</v>
      </c>
      <c r="G89" s="3">
        <v>85553.47464</v>
      </c>
      <c r="I89" s="3">
        <v>55494.823400000001</v>
      </c>
      <c r="J89" s="3">
        <v>55494.823400000001</v>
      </c>
      <c r="K89" s="3">
        <v>48060.285400000001</v>
      </c>
      <c r="L89" s="3">
        <v>74361.426900000006</v>
      </c>
      <c r="M89" s="3">
        <v>79544.75589</v>
      </c>
    </row>
    <row r="90" spans="1:13" x14ac:dyDescent="0.25">
      <c r="A90" s="5" t="s">
        <v>68</v>
      </c>
      <c r="B90" s="6">
        <f>B88+B89</f>
        <v>12122005.819050001</v>
      </c>
      <c r="C90" s="6">
        <f>C88+C89</f>
        <v>11708193.067770001</v>
      </c>
      <c r="D90" s="6">
        <f t="shared" ref="D90" si="65">D88+D89</f>
        <v>10737683.118670002</v>
      </c>
      <c r="E90" s="6">
        <f t="shared" ref="E90" si="66">E88+E89</f>
        <v>10563622.629450001</v>
      </c>
      <c r="F90" s="6">
        <f t="shared" ref="F90" si="67">F88+F89</f>
        <v>10145422.328499999</v>
      </c>
      <c r="G90" s="6">
        <f t="shared" ref="G90" si="68">G88+G89</f>
        <v>9533223.6181000005</v>
      </c>
      <c r="I90" s="6">
        <f>I88+I89</f>
        <v>12120022.12889</v>
      </c>
      <c r="J90" s="6">
        <f>J88+J89</f>
        <v>11708193.067770001</v>
      </c>
      <c r="K90" s="6">
        <f t="shared" ref="K90" si="69">K88+K89</f>
        <v>10737683.118670002</v>
      </c>
      <c r="L90" s="6">
        <f t="shared" ref="L90" si="70">L88+L89</f>
        <v>10563622.629450001</v>
      </c>
      <c r="M90" s="6">
        <f t="shared" ref="M90" si="71">M88+M89</f>
        <v>10145422.328499999</v>
      </c>
    </row>
    <row r="91" spans="1:13" x14ac:dyDescent="0.25">
      <c r="A91" s="7" t="s">
        <v>7</v>
      </c>
      <c r="B91" s="10">
        <f>B87/B90</f>
        <v>0</v>
      </c>
      <c r="C91" s="10">
        <f>C87/C90</f>
        <v>0</v>
      </c>
      <c r="D91" s="10">
        <f t="shared" ref="D91" si="72">D87/D90</f>
        <v>5.3831780432685747E-4</v>
      </c>
      <c r="E91" s="10">
        <f t="shared" ref="E91" si="73">E87/E90</f>
        <v>5.3718314247430635E-6</v>
      </c>
      <c r="F91" s="10">
        <f t="shared" ref="F91" si="74">F87/F90</f>
        <v>4.0413581290570134E-3</v>
      </c>
      <c r="G91" s="10">
        <f t="shared" ref="G91" si="75">G87/G90</f>
        <v>5.0920866796655452E-3</v>
      </c>
      <c r="H91" s="31"/>
      <c r="I91" s="10">
        <f>I87/I90</f>
        <v>0</v>
      </c>
      <c r="J91" s="10">
        <f>J87/J90</f>
        <v>0</v>
      </c>
      <c r="K91" s="10">
        <f t="shared" ref="K91" si="76">K87/K90</f>
        <v>5.3831780432685747E-4</v>
      </c>
      <c r="L91" s="10">
        <f t="shared" ref="L91" si="77">L87/L90</f>
        <v>5.3718314247430635E-6</v>
      </c>
      <c r="M91" s="10">
        <f t="shared" ref="M91" si="78">M87/M90</f>
        <v>4.0413581290570134E-3</v>
      </c>
    </row>
    <row r="93" spans="1:13" x14ac:dyDescent="0.25">
      <c r="A93" s="1" t="s">
        <v>12</v>
      </c>
      <c r="B93" s="1"/>
    </row>
    <row r="94" spans="1:13" x14ac:dyDescent="0.25">
      <c r="A94" t="s">
        <v>35</v>
      </c>
      <c r="B94" s="3">
        <f t="shared" ref="B94:G94" si="79">B7</f>
        <v>97689.25</v>
      </c>
      <c r="C94" s="3">
        <f t="shared" si="79"/>
        <v>325450.24386999983</v>
      </c>
      <c r="D94" s="3">
        <f t="shared" si="79"/>
        <v>245824.66339750009</v>
      </c>
      <c r="E94" s="3">
        <f t="shared" si="79"/>
        <v>170981.80827499999</v>
      </c>
      <c r="F94" s="3">
        <f t="shared" si="79"/>
        <v>78770.526995000037</v>
      </c>
      <c r="G94" s="3">
        <f t="shared" si="79"/>
        <v>309241.17059250019</v>
      </c>
      <c r="H94" s="3"/>
      <c r="I94" s="3">
        <f>I7</f>
        <v>97689.25</v>
      </c>
      <c r="J94" s="3">
        <f>J7</f>
        <v>79625.5804724997</v>
      </c>
      <c r="K94" s="3">
        <f>K7</f>
        <v>74842.855122500114</v>
      </c>
      <c r="L94" s="3">
        <f>L7</f>
        <v>92211.281279999937</v>
      </c>
      <c r="M94" s="3">
        <f>M7</f>
        <v>78770.526995000037</v>
      </c>
    </row>
    <row r="95" spans="1:13" x14ac:dyDescent="0.25">
      <c r="A95" s="5" t="s">
        <v>72</v>
      </c>
      <c r="B95" s="3">
        <v>58619688</v>
      </c>
      <c r="C95" s="6">
        <v>58619688</v>
      </c>
      <c r="D95" s="6">
        <v>58619688</v>
      </c>
      <c r="E95" s="6">
        <v>58619688</v>
      </c>
      <c r="F95" s="6">
        <v>58619688</v>
      </c>
      <c r="G95" s="6">
        <v>58619688</v>
      </c>
      <c r="H95" s="3"/>
      <c r="I95" s="3">
        <v>58619688</v>
      </c>
      <c r="J95" s="6">
        <v>58619688</v>
      </c>
      <c r="K95" s="6">
        <v>58619688</v>
      </c>
      <c r="L95" s="6">
        <v>58619688</v>
      </c>
      <c r="M95" s="6">
        <v>58619688</v>
      </c>
    </row>
    <row r="96" spans="1:13" x14ac:dyDescent="0.25">
      <c r="A96" s="7" t="s">
        <v>73</v>
      </c>
      <c r="B96" s="17">
        <f>B94*1000/B95</f>
        <v>1.6664921519200171</v>
      </c>
      <c r="C96" s="17">
        <f>C94*1000/C95</f>
        <v>5.5518931433070717</v>
      </c>
      <c r="D96" s="17">
        <f t="shared" ref="D96:G96" si="80">D94*1000/D95</f>
        <v>4.1935512075311641</v>
      </c>
      <c r="E96" s="17">
        <f t="shared" si="80"/>
        <v>2.9167983336076433</v>
      </c>
      <c r="F96" s="17">
        <f t="shared" si="80"/>
        <v>1.343755480155405</v>
      </c>
      <c r="G96" s="17">
        <f t="shared" si="80"/>
        <v>5.2753806979064821</v>
      </c>
      <c r="I96" s="17">
        <f>I94*1000/I95</f>
        <v>1.6664921519200171</v>
      </c>
      <c r="J96" s="17">
        <f>J94*1000/J95</f>
        <v>1.3583419357759068</v>
      </c>
      <c r="K96" s="17">
        <f t="shared" ref="K96:M96" si="81">K94*1000/K95</f>
        <v>1.2767528739235205</v>
      </c>
      <c r="L96" s="17">
        <f t="shared" si="81"/>
        <v>1.5730428534522385</v>
      </c>
      <c r="M96" s="17">
        <f t="shared" si="81"/>
        <v>1.343755480155405</v>
      </c>
    </row>
    <row r="98" spans="1:13" x14ac:dyDescent="0.25">
      <c r="A98" s="1" t="s">
        <v>13</v>
      </c>
      <c r="B98" s="1"/>
    </row>
    <row r="99" spans="1:13" x14ac:dyDescent="0.25">
      <c r="A99" t="s">
        <v>36</v>
      </c>
      <c r="B99" s="3">
        <v>2605544.12629</v>
      </c>
      <c r="C99" s="3">
        <v>2507807.1124900002</v>
      </c>
      <c r="D99" s="3">
        <v>2428112.0311200004</v>
      </c>
      <c r="E99" s="3">
        <v>2353115.6329399999</v>
      </c>
      <c r="F99" s="3">
        <v>2110841.7356900005</v>
      </c>
      <c r="G99" s="3">
        <v>2125910.3699699999</v>
      </c>
      <c r="H99" s="3"/>
      <c r="I99" s="3">
        <v>2605544.12629</v>
      </c>
      <c r="J99" s="3">
        <v>2507807.1124900002</v>
      </c>
      <c r="K99" s="3">
        <v>2428112.0311200004</v>
      </c>
      <c r="L99" s="3">
        <v>2353115.6329399999</v>
      </c>
      <c r="M99" s="3">
        <v>2110841.7356900005</v>
      </c>
    </row>
    <row r="100" spans="1:13" x14ac:dyDescent="0.25">
      <c r="A100" t="s">
        <v>37</v>
      </c>
      <c r="B100" s="3">
        <v>200000</v>
      </c>
      <c r="C100" s="3">
        <v>200000</v>
      </c>
      <c r="D100" s="3">
        <v>200000</v>
      </c>
      <c r="E100" s="3">
        <v>200000</v>
      </c>
      <c r="F100" s="3">
        <v>50000</v>
      </c>
      <c r="G100" s="3">
        <v>50000</v>
      </c>
      <c r="H100" s="3"/>
      <c r="I100" s="3">
        <v>200000</v>
      </c>
      <c r="J100" s="3">
        <v>200000</v>
      </c>
      <c r="K100" s="3">
        <v>200000</v>
      </c>
      <c r="L100" s="3">
        <v>200000</v>
      </c>
      <c r="M100" s="3">
        <v>50000</v>
      </c>
    </row>
    <row r="101" spans="1:13" x14ac:dyDescent="0.25">
      <c r="A101" s="5" t="s">
        <v>38</v>
      </c>
      <c r="B101" s="3">
        <f>B99-B100</f>
        <v>2405544.12629</v>
      </c>
      <c r="C101" s="6">
        <f>C99-C100</f>
        <v>2307807.1124900002</v>
      </c>
      <c r="D101" s="6">
        <f t="shared" ref="D101:G101" si="82">D99-D100</f>
        <v>2228112.0311200004</v>
      </c>
      <c r="E101" s="6">
        <f t="shared" si="82"/>
        <v>2153115.6329399999</v>
      </c>
      <c r="F101" s="6">
        <f t="shared" si="82"/>
        <v>2060841.7356900005</v>
      </c>
      <c r="G101" s="6">
        <f t="shared" si="82"/>
        <v>2075910.3699699999</v>
      </c>
      <c r="H101" s="3"/>
      <c r="I101" s="6">
        <f>I99-I100</f>
        <v>2405544.12629</v>
      </c>
      <c r="J101" s="6">
        <f>J99-J100</f>
        <v>2307807.1124900002</v>
      </c>
      <c r="K101" s="6">
        <f t="shared" ref="K101:M101" si="83">K99-K100</f>
        <v>2228112.0311200004</v>
      </c>
      <c r="L101" s="6">
        <f t="shared" si="83"/>
        <v>2153115.6329399999</v>
      </c>
      <c r="M101" s="6">
        <f t="shared" si="83"/>
        <v>2060841.7356900005</v>
      </c>
    </row>
    <row r="102" spans="1:13" x14ac:dyDescent="0.25">
      <c r="A102" s="5" t="s">
        <v>72</v>
      </c>
      <c r="B102" s="8">
        <v>58619688</v>
      </c>
      <c r="C102" s="8">
        <v>58619688</v>
      </c>
      <c r="D102" s="8">
        <v>58619688</v>
      </c>
      <c r="E102" s="8">
        <v>58619688</v>
      </c>
      <c r="F102" s="8">
        <v>58619688</v>
      </c>
      <c r="G102" s="8">
        <v>58619688</v>
      </c>
      <c r="H102" s="3"/>
      <c r="I102" s="8">
        <v>58619688</v>
      </c>
      <c r="J102" s="8">
        <v>58619688</v>
      </c>
      <c r="K102" s="8">
        <v>58619688</v>
      </c>
      <c r="L102" s="8">
        <v>58619688</v>
      </c>
      <c r="M102" s="8">
        <v>58619688</v>
      </c>
    </row>
    <row r="103" spans="1:13" x14ac:dyDescent="0.25">
      <c r="A103" s="7" t="s">
        <v>74</v>
      </c>
      <c r="B103" s="17">
        <f>1000*B101/B102</f>
        <v>41.036453934896414</v>
      </c>
      <c r="C103" s="17">
        <f>1000*C101/C102</f>
        <v>39.369146974818428</v>
      </c>
      <c r="D103" s="17">
        <f t="shared" ref="D103:G103" si="84">1000*D101/D102</f>
        <v>38.009619415238106</v>
      </c>
      <c r="E103" s="17">
        <f t="shared" si="84"/>
        <v>36.730247232636245</v>
      </c>
      <c r="F103" s="17">
        <f t="shared" si="84"/>
        <v>35.156136206149725</v>
      </c>
      <c r="G103" s="17">
        <f t="shared" si="84"/>
        <v>35.413193771519218</v>
      </c>
      <c r="I103" s="17">
        <f>1000*I101/I102</f>
        <v>41.036453934896414</v>
      </c>
      <c r="J103" s="17">
        <f>1000*J101/J102</f>
        <v>39.369146974818428</v>
      </c>
      <c r="K103" s="17">
        <f t="shared" ref="K103" si="85">1000*K101/K102</f>
        <v>38.009619415238106</v>
      </c>
      <c r="L103" s="17">
        <f t="shared" ref="L103" si="86">1000*L101/L102</f>
        <v>36.730247232636245</v>
      </c>
      <c r="M103" s="17">
        <f t="shared" ref="M103" si="87">1000*M101/M102</f>
        <v>35.156136206149725</v>
      </c>
    </row>
    <row r="105" spans="1:13" x14ac:dyDescent="0.25">
      <c r="A105" s="1" t="s">
        <v>18</v>
      </c>
      <c r="B105" s="1"/>
    </row>
    <row r="106" spans="1:13" x14ac:dyDescent="0.25">
      <c r="A106" t="s">
        <v>75</v>
      </c>
      <c r="B106" s="12"/>
      <c r="C106" s="12">
        <v>33.799999999999997</v>
      </c>
      <c r="D106" s="12"/>
      <c r="E106" s="12"/>
      <c r="F106" s="12"/>
      <c r="G106" s="12">
        <v>39.5</v>
      </c>
      <c r="H106" s="12"/>
      <c r="I106" s="12">
        <v>36</v>
      </c>
      <c r="J106" s="12">
        <v>33.799999999999997</v>
      </c>
      <c r="K106" s="12">
        <v>39.799999999999997</v>
      </c>
      <c r="L106" s="12">
        <v>38.4</v>
      </c>
      <c r="M106" s="12">
        <v>37</v>
      </c>
    </row>
    <row r="107" spans="1:13" x14ac:dyDescent="0.25">
      <c r="A107" t="s">
        <v>76</v>
      </c>
      <c r="C107" s="12">
        <f>C96</f>
        <v>5.5518931433070717</v>
      </c>
      <c r="D107" s="12"/>
      <c r="E107" s="12"/>
      <c r="F107" s="12"/>
      <c r="G107" s="12">
        <f>G96</f>
        <v>5.2753806979064821</v>
      </c>
      <c r="H107" s="12"/>
      <c r="I107" s="12">
        <v>1.67</v>
      </c>
      <c r="J107" s="12">
        <f>J96</f>
        <v>1.3583419357759068</v>
      </c>
      <c r="K107" s="12">
        <f t="shared" ref="K107:M107" si="88">K96</f>
        <v>1.2767528739235205</v>
      </c>
      <c r="L107" s="12">
        <f t="shared" si="88"/>
        <v>1.5730428534522385</v>
      </c>
      <c r="M107" s="12">
        <f t="shared" si="88"/>
        <v>1.343755480155405</v>
      </c>
    </row>
    <row r="108" spans="1:13" x14ac:dyDescent="0.25">
      <c r="A108" s="7" t="s">
        <v>18</v>
      </c>
      <c r="B108" s="17"/>
      <c r="C108" s="17">
        <f>C106/C107</f>
        <v>6.0880134266897112</v>
      </c>
      <c r="D108" s="17"/>
      <c r="E108" s="17"/>
      <c r="F108" s="17"/>
      <c r="G108" s="17">
        <f>G106/G107</f>
        <v>7.4876112762203961</v>
      </c>
      <c r="H108" s="12"/>
      <c r="I108" s="17">
        <f>I106/I107/4</f>
        <v>5.3892215568862278</v>
      </c>
      <c r="J108" s="17">
        <f>J106/J107/4</f>
        <v>6.2208194987171792</v>
      </c>
      <c r="K108" s="17">
        <f>K106/K107/4</f>
        <v>7.7932074430529301</v>
      </c>
      <c r="L108" s="17">
        <f>L106/L107/4</f>
        <v>6.102821661171915</v>
      </c>
      <c r="M108" s="17">
        <f>M106/M107/4</f>
        <v>6.8836928567764719</v>
      </c>
    </row>
    <row r="110" spans="1:13" x14ac:dyDescent="0.25">
      <c r="A110" s="1" t="s">
        <v>19</v>
      </c>
      <c r="B110" s="1"/>
    </row>
    <row r="111" spans="1:13" x14ac:dyDescent="0.25">
      <c r="A111" t="s">
        <v>75</v>
      </c>
      <c r="B111" s="12"/>
      <c r="C111" s="12">
        <v>33.799999999999997</v>
      </c>
      <c r="D111" s="12">
        <v>39.799999999999997</v>
      </c>
      <c r="E111" s="12">
        <v>38.4</v>
      </c>
      <c r="F111" s="12">
        <v>37</v>
      </c>
      <c r="G111" s="12">
        <v>39.5</v>
      </c>
      <c r="H111" s="12"/>
      <c r="I111" s="12">
        <v>36</v>
      </c>
      <c r="J111" s="12">
        <v>33.799999999999997</v>
      </c>
      <c r="K111" s="12">
        <v>39.799999999999997</v>
      </c>
      <c r="L111" s="12">
        <v>38.4</v>
      </c>
      <c r="M111" s="12">
        <v>37</v>
      </c>
    </row>
    <row r="112" spans="1:13" x14ac:dyDescent="0.25">
      <c r="A112" s="5" t="s">
        <v>74</v>
      </c>
      <c r="B112" s="18"/>
      <c r="C112" s="18">
        <f>C103</f>
        <v>39.369146974818428</v>
      </c>
      <c r="D112" s="18">
        <f t="shared" ref="D112:M112" si="89">D103</f>
        <v>38.009619415238106</v>
      </c>
      <c r="E112" s="18">
        <f t="shared" si="89"/>
        <v>36.730247232636245</v>
      </c>
      <c r="F112" s="18">
        <f t="shared" si="89"/>
        <v>35.156136206149725</v>
      </c>
      <c r="G112" s="18">
        <f t="shared" si="89"/>
        <v>35.413193771519218</v>
      </c>
      <c r="H112" s="12"/>
      <c r="I112" s="12">
        <f t="shared" si="89"/>
        <v>41.036453934896414</v>
      </c>
      <c r="J112" s="18">
        <f t="shared" si="89"/>
        <v>39.369146974818428</v>
      </c>
      <c r="K112" s="18">
        <f t="shared" si="89"/>
        <v>38.009619415238106</v>
      </c>
      <c r="L112" s="18">
        <f t="shared" si="89"/>
        <v>36.730247232636245</v>
      </c>
      <c r="M112" s="18">
        <f t="shared" si="89"/>
        <v>35.156136206149725</v>
      </c>
    </row>
    <row r="113" spans="1:13" x14ac:dyDescent="0.25">
      <c r="A113" s="7" t="s">
        <v>19</v>
      </c>
      <c r="B113" s="17"/>
      <c r="C113" s="17">
        <f>C111/C112</f>
        <v>0.85854031893602856</v>
      </c>
      <c r="D113" s="17">
        <f t="shared" ref="D113:M113" si="90">D111/D112</f>
        <v>1.047103354685107</v>
      </c>
      <c r="E113" s="17">
        <f t="shared" si="90"/>
        <v>1.0454598836971649</v>
      </c>
      <c r="F113" s="17">
        <f t="shared" si="90"/>
        <v>1.0524478510106505</v>
      </c>
      <c r="G113" s="17">
        <f t="shared" si="90"/>
        <v>1.1154034921235363</v>
      </c>
      <c r="H113" s="12"/>
      <c r="I113" s="17">
        <f t="shared" si="90"/>
        <v>0.87726878294877386</v>
      </c>
      <c r="J113" s="17">
        <f t="shared" si="90"/>
        <v>0.85854031893602856</v>
      </c>
      <c r="K113" s="17">
        <f t="shared" si="90"/>
        <v>1.047103354685107</v>
      </c>
      <c r="L113" s="17">
        <f t="shared" si="90"/>
        <v>1.0454598836971649</v>
      </c>
      <c r="M113" s="17">
        <f t="shared" si="90"/>
        <v>1.0524478510106505</v>
      </c>
    </row>
    <row r="115" spans="1:13" x14ac:dyDescent="0.25">
      <c r="A115" s="1" t="s">
        <v>3</v>
      </c>
      <c r="B115" s="1"/>
    </row>
    <row r="116" spans="1:13" x14ac:dyDescent="0.25">
      <c r="A116" t="s">
        <v>77</v>
      </c>
      <c r="C116" s="12">
        <v>0.7</v>
      </c>
      <c r="D116" s="12"/>
      <c r="E116" s="12"/>
      <c r="F116" s="12"/>
      <c r="G116" s="12">
        <v>1.6</v>
      </c>
    </row>
    <row r="117" spans="1:13" x14ac:dyDescent="0.25">
      <c r="A117" t="s">
        <v>78</v>
      </c>
      <c r="B117" s="3"/>
      <c r="C117" s="3">
        <v>58619688</v>
      </c>
      <c r="D117" s="3"/>
      <c r="E117" s="3"/>
      <c r="F117" s="3"/>
      <c r="G117" s="3">
        <v>58619688</v>
      </c>
      <c r="I117" s="3"/>
    </row>
    <row r="118" spans="1:13" x14ac:dyDescent="0.25">
      <c r="A118" t="s">
        <v>79</v>
      </c>
      <c r="C118" s="3">
        <f>C116*C117/1000</f>
        <v>41033.781599999995</v>
      </c>
      <c r="D118" s="3"/>
      <c r="E118" s="3"/>
      <c r="F118" s="3"/>
      <c r="G118" s="3">
        <f>G116*G117/1000</f>
        <v>93791.500800000009</v>
      </c>
    </row>
    <row r="119" spans="1:13" x14ac:dyDescent="0.25">
      <c r="A119" s="5" t="s">
        <v>35</v>
      </c>
      <c r="B119" s="6"/>
      <c r="C119" s="6">
        <f>C7</f>
        <v>325450.24386999983</v>
      </c>
      <c r="D119" s="6"/>
      <c r="E119" s="6"/>
      <c r="F119" s="6"/>
      <c r="G119" s="6">
        <f>G7</f>
        <v>309241.17059250019</v>
      </c>
    </row>
    <row r="120" spans="1:13" x14ac:dyDescent="0.25">
      <c r="A120" s="7" t="s">
        <v>3</v>
      </c>
      <c r="B120" s="9"/>
      <c r="C120" s="9">
        <f>C118/C119</f>
        <v>0.12608311830422478</v>
      </c>
      <c r="D120" s="7"/>
      <c r="E120" s="7"/>
      <c r="F120" s="7"/>
      <c r="G120" s="9">
        <f>G118/G119</f>
        <v>0.30329564663171232</v>
      </c>
    </row>
    <row r="122" spans="1:13" x14ac:dyDescent="0.25">
      <c r="A122" s="1" t="s">
        <v>21</v>
      </c>
      <c r="B122" s="1"/>
    </row>
    <row r="123" spans="1:13" x14ac:dyDescent="0.25">
      <c r="A123" t="s">
        <v>36</v>
      </c>
      <c r="B123" s="3">
        <v>2605544.12629</v>
      </c>
      <c r="C123" s="3">
        <v>2507807.1124900002</v>
      </c>
      <c r="D123" s="3">
        <v>2428112.0311200004</v>
      </c>
      <c r="E123" s="3">
        <v>2353115.6329399999</v>
      </c>
      <c r="F123" s="3">
        <v>2110841.7356900005</v>
      </c>
      <c r="G123" s="3">
        <v>2125910.3699699999</v>
      </c>
      <c r="H123" s="3"/>
      <c r="I123" s="3">
        <v>2605544.12629</v>
      </c>
      <c r="J123" s="3">
        <v>2507807.1124900002</v>
      </c>
      <c r="K123" s="3">
        <v>2428112.0311200004</v>
      </c>
      <c r="L123" s="3">
        <v>2353115.6329399999</v>
      </c>
      <c r="M123" s="3">
        <v>2110841.7356900005</v>
      </c>
    </row>
    <row r="124" spans="1:13" x14ac:dyDescent="0.25">
      <c r="A124" s="5" t="s">
        <v>80</v>
      </c>
      <c r="B124" s="3">
        <v>16918822.948449999</v>
      </c>
      <c r="C124" s="6">
        <v>15606951.61939</v>
      </c>
      <c r="D124" s="6">
        <v>16319439.15601</v>
      </c>
      <c r="E124" s="6">
        <v>15752985.544190003</v>
      </c>
      <c r="F124" s="6">
        <v>13433547.226489997</v>
      </c>
      <c r="G124" s="6">
        <v>13103969.460619999</v>
      </c>
      <c r="I124" s="3">
        <v>16918822.948449999</v>
      </c>
      <c r="J124" s="6">
        <v>15606951.61939</v>
      </c>
      <c r="K124" s="6">
        <v>16319439.15601</v>
      </c>
      <c r="L124" s="6">
        <v>15752985.544190003</v>
      </c>
      <c r="M124" s="6">
        <v>13433547.226489997</v>
      </c>
    </row>
    <row r="125" spans="1:13" x14ac:dyDescent="0.25">
      <c r="A125" s="7" t="s">
        <v>21</v>
      </c>
      <c r="B125" s="9">
        <f>B123/B124</f>
        <v>0.1540026829424741</v>
      </c>
      <c r="C125" s="9">
        <f>C123/C124</f>
        <v>0.16068526216063314</v>
      </c>
      <c r="D125" s="9">
        <f t="shared" ref="D125:M125" si="91">D123/D124</f>
        <v>0.14878648756907761</v>
      </c>
      <c r="E125" s="9">
        <f t="shared" si="91"/>
        <v>0.14937585172912657</v>
      </c>
      <c r="F125" s="9">
        <f t="shared" si="91"/>
        <v>0.15713211857606538</v>
      </c>
      <c r="G125" s="9">
        <f t="shared" si="91"/>
        <v>0.16223407543483506</v>
      </c>
      <c r="H125" s="11"/>
      <c r="I125" s="9">
        <f t="shared" si="91"/>
        <v>0.1540026829424741</v>
      </c>
      <c r="J125" s="9">
        <f t="shared" si="91"/>
        <v>0.16068526216063314</v>
      </c>
      <c r="K125" s="9">
        <f t="shared" si="91"/>
        <v>0.14878648756907761</v>
      </c>
      <c r="L125" s="9">
        <f t="shared" si="91"/>
        <v>0.14937585172912657</v>
      </c>
      <c r="M125" s="9">
        <f t="shared" si="91"/>
        <v>0.15713211857606538</v>
      </c>
    </row>
    <row r="130" spans="1:15" x14ac:dyDescent="0.25">
      <c r="A130" s="29" t="s">
        <v>98</v>
      </c>
      <c r="B130" s="29"/>
    </row>
    <row r="131" spans="1:15" x14ac:dyDescent="0.25">
      <c r="A131" t="s">
        <v>100</v>
      </c>
    </row>
    <row r="135" spans="1:15" x14ac:dyDescent="0.25">
      <c r="K135" s="35"/>
      <c r="L135" s="35"/>
      <c r="M135" s="35"/>
      <c r="N135" s="35"/>
      <c r="O135" s="35"/>
    </row>
    <row r="136" spans="1:15" x14ac:dyDescent="0.25">
      <c r="K136" s="35"/>
      <c r="L136" s="35"/>
      <c r="M136" s="35"/>
      <c r="N136" s="35"/>
      <c r="O136" s="35"/>
    </row>
    <row r="137" spans="1:15" x14ac:dyDescent="0.25">
      <c r="K137" s="35"/>
      <c r="L137" s="35"/>
      <c r="M137" s="36"/>
      <c r="N137" s="35"/>
      <c r="O137" s="35"/>
    </row>
    <row r="138" spans="1:15" x14ac:dyDescent="0.25">
      <c r="K138" s="35"/>
      <c r="L138" s="35"/>
      <c r="M138" s="36"/>
      <c r="N138" s="35"/>
      <c r="O138" s="35"/>
    </row>
    <row r="139" spans="1:15" x14ac:dyDescent="0.25">
      <c r="K139" s="35"/>
      <c r="L139" s="35"/>
      <c r="M139" s="36"/>
      <c r="N139" s="35"/>
      <c r="O139" s="35"/>
    </row>
    <row r="140" spans="1:15" x14ac:dyDescent="0.25">
      <c r="K140" s="35"/>
      <c r="L140" s="35"/>
      <c r="M140" s="36"/>
      <c r="N140" s="35"/>
      <c r="O140" s="35"/>
    </row>
    <row r="141" spans="1:15" x14ac:dyDescent="0.25">
      <c r="K141" s="35"/>
      <c r="L141" s="35"/>
      <c r="M141" s="36"/>
      <c r="N141" s="35"/>
      <c r="O141" s="35"/>
    </row>
    <row r="142" spans="1:15" x14ac:dyDescent="0.25">
      <c r="K142" s="35"/>
      <c r="L142" s="35"/>
      <c r="M142" s="36"/>
      <c r="N142" s="35"/>
      <c r="O142" s="35"/>
    </row>
    <row r="143" spans="1:15" x14ac:dyDescent="0.25">
      <c r="K143" s="35"/>
      <c r="L143" s="35"/>
      <c r="M143" s="36"/>
      <c r="N143" s="35"/>
      <c r="O143" s="35"/>
    </row>
    <row r="144" spans="1:15" x14ac:dyDescent="0.25">
      <c r="K144" s="35"/>
      <c r="L144" s="35"/>
      <c r="M144" s="36"/>
      <c r="N144" s="35"/>
      <c r="O144" s="35"/>
    </row>
    <row r="145" spans="1:15" x14ac:dyDescent="0.25">
      <c r="K145" s="35"/>
      <c r="L145" s="35"/>
      <c r="M145" s="36"/>
      <c r="N145" s="35"/>
      <c r="O145" s="35"/>
    </row>
    <row r="146" spans="1:15" x14ac:dyDescent="0.25">
      <c r="K146" s="35"/>
      <c r="L146" s="35"/>
      <c r="M146" s="35"/>
      <c r="N146" s="35"/>
      <c r="O146" s="35"/>
    </row>
    <row r="147" spans="1:15" x14ac:dyDescent="0.25">
      <c r="K147" s="35"/>
      <c r="L147" s="35"/>
      <c r="M147" s="35"/>
      <c r="N147" s="35"/>
      <c r="O147" s="35"/>
    </row>
    <row r="148" spans="1:15" x14ac:dyDescent="0.25">
      <c r="K148" s="35"/>
      <c r="L148" s="35"/>
      <c r="M148" s="35"/>
      <c r="N148" s="35"/>
      <c r="O148" s="35"/>
    </row>
    <row r="149" spans="1:15" x14ac:dyDescent="0.25">
      <c r="K149" s="35"/>
      <c r="L149" s="35"/>
      <c r="M149" s="35"/>
      <c r="N149" s="35"/>
      <c r="O149" s="35"/>
    </row>
    <row r="155" spans="1:15" x14ac:dyDescent="0.25">
      <c r="A155" s="4"/>
    </row>
    <row r="160" spans="1:15" x14ac:dyDescent="0.25">
      <c r="A160">
        <v>99664.069360000052</v>
      </c>
    </row>
    <row r="161" spans="1:3" x14ac:dyDescent="0.25">
      <c r="A161">
        <v>2575.8328900000006</v>
      </c>
    </row>
    <row r="162" spans="1:3" x14ac:dyDescent="0.25">
      <c r="A162">
        <v>57.524999999999999</v>
      </c>
    </row>
    <row r="165" spans="1:3" x14ac:dyDescent="0.25">
      <c r="A165">
        <v>972.06506000000002</v>
      </c>
    </row>
    <row r="166" spans="1:3" x14ac:dyDescent="0.25">
      <c r="A166">
        <v>12064527.30549</v>
      </c>
    </row>
    <row r="167" spans="1:3" x14ac:dyDescent="0.25">
      <c r="A167">
        <v>11652698.24437</v>
      </c>
      <c r="B167">
        <f>A166+A167</f>
        <v>23717225.549860001</v>
      </c>
      <c r="C167">
        <f>B167/2</f>
        <v>11858612.77493</v>
      </c>
    </row>
    <row r="169" spans="1:3" x14ac:dyDescent="0.25">
      <c r="A169">
        <f>A165/C167</f>
        <v>8.197122871361637E-5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APM</vt:lpstr>
      <vt:lpstr>APM avstemming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Erling Mork</dc:creator>
  <cp:lastModifiedBy>Erling Mork</cp:lastModifiedBy>
  <dcterms:created xsi:type="dcterms:W3CDTF">2019-02-12T14:22:06Z</dcterms:created>
  <dcterms:modified xsi:type="dcterms:W3CDTF">2019-05-02T12:01:35Z</dcterms:modified>
</cp:coreProperties>
</file>