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defaultThemeVersion="166925"/>
  <mc:AlternateContent xmlns:mc="http://schemas.openxmlformats.org/markup-compatibility/2006">
    <mc:Choice Requires="x15">
      <x15ac:absPath xmlns:x15ac="http://schemas.microsoft.com/office/spreadsheetml/2010/11/ac" url="\\5014localfs01\5014redirect$\i380cse\Desktop\"/>
    </mc:Choice>
  </mc:AlternateContent>
  <xr:revisionPtr revIDLastSave="0" documentId="8_{0CC2A074-37D9-48EC-889D-F49CBED45354}" xr6:coauthVersionLast="45" xr6:coauthVersionMax="45" xr10:uidLastSave="{00000000-0000-0000-0000-000000000000}"/>
  <bookViews>
    <workbookView xWindow="-120" yWindow="-120" windowWidth="29040" windowHeight="17640" xr2:uid="{3D474F61-7E60-4309-B9CE-FF31680169AE}"/>
  </bookViews>
  <sheets>
    <sheet name="APM" sheetId="3" r:id="rId1"/>
    <sheet name="APM avstemm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8" i="2" l="1"/>
  <c r="P88" i="2"/>
  <c r="B79" i="2"/>
  <c r="P79" i="2"/>
  <c r="P91" i="2"/>
  <c r="B91" i="2"/>
  <c r="P92" i="2" l="1"/>
  <c r="B92" i="2"/>
  <c r="B82" i="2"/>
  <c r="B83" i="2" s="1"/>
  <c r="P66" i="2"/>
  <c r="B66" i="2"/>
  <c r="B67" i="2" s="1"/>
  <c r="P82" i="2"/>
  <c r="P83" i="2" s="1"/>
  <c r="B68" i="2" l="1"/>
  <c r="P73" i="2"/>
  <c r="P74" i="2" s="1"/>
  <c r="P68" i="2" l="1"/>
  <c r="P67" i="2"/>
  <c r="B100" i="2" l="1"/>
  <c r="P24" i="2" l="1"/>
  <c r="P29" i="2" l="1"/>
  <c r="P30" i="2" s="1"/>
  <c r="P50" i="2"/>
  <c r="P56" i="2"/>
  <c r="B56" i="2"/>
  <c r="B50" i="2"/>
  <c r="Q125" i="2" l="1"/>
  <c r="R82" i="2"/>
  <c r="R79" i="2"/>
  <c r="R83" i="2" l="1"/>
  <c r="R18" i="2"/>
  <c r="D11" i="2"/>
  <c r="C125" i="2" l="1"/>
  <c r="R30" i="2" l="1"/>
  <c r="R34" i="2" s="1"/>
  <c r="R24" i="2"/>
  <c r="R33" i="2" s="1"/>
  <c r="R35" i="2" l="1"/>
  <c r="R88" i="2" l="1"/>
  <c r="D88" i="2"/>
  <c r="D82" i="2"/>
  <c r="D79" i="2"/>
  <c r="R91" i="2"/>
  <c r="D91" i="2"/>
  <c r="D92" i="2" l="1"/>
  <c r="R92" i="2"/>
  <c r="D83" i="2"/>
  <c r="D124" i="2"/>
  <c r="R124" i="2"/>
  <c r="R100" i="2"/>
  <c r="D100" i="2"/>
  <c r="Q9" i="2" l="1"/>
  <c r="C9" i="2"/>
  <c r="C100" i="2" l="1"/>
  <c r="C102" i="2" s="1"/>
  <c r="C104" i="2" s="1"/>
  <c r="C113" i="2" s="1"/>
  <c r="C114" i="2" s="1"/>
  <c r="C124" i="2"/>
  <c r="C126" i="2" s="1"/>
  <c r="Q100" i="2"/>
  <c r="Q102" i="2" s="1"/>
  <c r="Q104" i="2" s="1"/>
  <c r="Q113" i="2" s="1"/>
  <c r="Q114" i="2" s="1"/>
  <c r="Q124" i="2"/>
  <c r="Q126" i="2" s="1"/>
  <c r="Q11" i="2"/>
  <c r="Q8" i="2"/>
  <c r="Q95" i="2" s="1"/>
  <c r="Q97" i="2" s="1"/>
  <c r="Q108" i="2" s="1"/>
  <c r="Q109" i="2" s="1"/>
  <c r="C11" i="2"/>
  <c r="C8" i="2"/>
  <c r="C95" i="2" s="1"/>
  <c r="C97" i="2" s="1"/>
  <c r="R6" i="2"/>
  <c r="P6" i="2" s="1"/>
  <c r="P7" i="2" s="1"/>
  <c r="D6" i="2"/>
  <c r="R73" i="2" l="1"/>
  <c r="R74" i="2" s="1"/>
  <c r="R126" i="2"/>
  <c r="D126" i="2"/>
  <c r="R102" i="2"/>
  <c r="R104" i="2" s="1"/>
  <c r="R113" i="2" s="1"/>
  <c r="R114" i="2" s="1"/>
  <c r="D102" i="2"/>
  <c r="D104" i="2" s="1"/>
  <c r="D113" i="2" s="1"/>
  <c r="D114" i="2" s="1"/>
  <c r="R66" i="2"/>
  <c r="R68" i="2" s="1"/>
  <c r="D66" i="2"/>
  <c r="D67" i="2" s="1"/>
  <c r="R57" i="2"/>
  <c r="R58" i="2" s="1"/>
  <c r="D57" i="2"/>
  <c r="D58" i="2" s="1"/>
  <c r="R51" i="2"/>
  <c r="R52" i="2" s="1"/>
  <c r="D51" i="2"/>
  <c r="D52" i="2" s="1"/>
  <c r="R46" i="2"/>
  <c r="D46" i="2"/>
  <c r="D40" i="2"/>
  <c r="R40" i="2"/>
  <c r="D18" i="2"/>
  <c r="D68" i="2" l="1"/>
  <c r="R67" i="2"/>
  <c r="R11" i="2"/>
  <c r="R7" i="2"/>
  <c r="R8" i="2" s="1"/>
  <c r="R95" i="2" s="1"/>
  <c r="R97" i="2" s="1"/>
  <c r="R108" i="2" s="1"/>
  <c r="R109" i="2" s="1"/>
  <c r="D7" i="2"/>
  <c r="D8" i="2" s="1"/>
  <c r="D95" i="2" l="1"/>
  <c r="D97" i="2" s="1"/>
  <c r="Y82" i="2"/>
  <c r="AB88" i="2" l="1"/>
  <c r="AA88" i="2"/>
  <c r="Z88" i="2"/>
  <c r="Y88" i="2"/>
  <c r="X88" i="2"/>
  <c r="N88" i="2"/>
  <c r="M88" i="2"/>
  <c r="L88" i="2"/>
  <c r="K88" i="2"/>
  <c r="N91" i="2"/>
  <c r="M91" i="2"/>
  <c r="L91" i="2"/>
  <c r="K91" i="2"/>
  <c r="J91" i="2"/>
  <c r="L92" i="2" l="1"/>
  <c r="M92" i="2"/>
  <c r="J30" i="2"/>
  <c r="N30" i="2" l="1"/>
  <c r="N34" i="2" s="1"/>
  <c r="N24" i="2"/>
  <c r="N33" i="2" s="1"/>
  <c r="N35" i="2" l="1"/>
  <c r="K92" i="2" l="1"/>
  <c r="E90" i="2" l="1"/>
  <c r="N92" i="2" l="1"/>
  <c r="AB73" i="2" l="1"/>
  <c r="N73" i="2"/>
  <c r="N74" i="2" s="1"/>
  <c r="AB68" i="2" l="1"/>
  <c r="AA68" i="2"/>
  <c r="Z68" i="2"/>
  <c r="Y68" i="2"/>
  <c r="AB67" i="2"/>
  <c r="AA67" i="2"/>
  <c r="Z67" i="2"/>
  <c r="Y67" i="2"/>
  <c r="X68" i="2"/>
  <c r="X67" i="2"/>
  <c r="N66" i="2"/>
  <c r="N67" i="2" s="1"/>
  <c r="N68" i="2" l="1"/>
  <c r="M66" i="2"/>
  <c r="M67" i="2" s="1"/>
  <c r="M68" i="2" l="1"/>
  <c r="L66" i="2"/>
  <c r="L68" i="2" s="1"/>
  <c r="L67" i="2" l="1"/>
  <c r="K66" i="2"/>
  <c r="K68" i="2" s="1"/>
  <c r="K67" i="2" l="1"/>
  <c r="L79" i="2"/>
  <c r="K79" i="2"/>
  <c r="N82" i="2"/>
  <c r="M82" i="2"/>
  <c r="L82" i="2"/>
  <c r="K82" i="2"/>
  <c r="K83" i="2" s="1"/>
  <c r="N79" i="2"/>
  <c r="M79" i="2"/>
  <c r="AB82" i="2"/>
  <c r="AA82" i="2"/>
  <c r="Z82" i="2"/>
  <c r="X82" i="2"/>
  <c r="AB79" i="2"/>
  <c r="AA79" i="2"/>
  <c r="Z79" i="2"/>
  <c r="Y79" i="2"/>
  <c r="X79" i="2"/>
  <c r="Z83" i="2" l="1"/>
  <c r="AA83" i="2"/>
  <c r="AB83" i="2"/>
  <c r="L83" i="2"/>
  <c r="M83" i="2"/>
  <c r="N83" i="2"/>
  <c r="X83" i="2"/>
  <c r="Y83" i="2"/>
  <c r="AB30" i="2"/>
  <c r="AB34" i="2" s="1"/>
  <c r="AB57" i="2" l="1"/>
  <c r="AB58" i="2" s="1"/>
  <c r="AA57" i="2"/>
  <c r="AA58" i="2" s="1"/>
  <c r="Z57" i="2"/>
  <c r="Z58" i="2" s="1"/>
  <c r="Y57" i="2"/>
  <c r="Y58" i="2" s="1"/>
  <c r="X57" i="2"/>
  <c r="X58" i="2" s="1"/>
  <c r="N57" i="2"/>
  <c r="N58" i="2" s="1"/>
  <c r="M57" i="2"/>
  <c r="M58" i="2" s="1"/>
  <c r="L57" i="2"/>
  <c r="L58" i="2" s="1"/>
  <c r="K57" i="2"/>
  <c r="K58" i="2" s="1"/>
  <c r="N51" i="2"/>
  <c r="N52" i="2" s="1"/>
  <c r="M51" i="2"/>
  <c r="M52" i="2" s="1"/>
  <c r="L51" i="2"/>
  <c r="L52" i="2" s="1"/>
  <c r="K51" i="2"/>
  <c r="K52" i="2" s="1"/>
  <c r="X30" i="2" l="1"/>
  <c r="X34" i="2" s="1"/>
  <c r="Y30" i="2"/>
  <c r="Y34" i="2" s="1"/>
  <c r="Z30" i="2"/>
  <c r="Z34" i="2" s="1"/>
  <c r="AA30" i="2"/>
  <c r="AA34" i="2" s="1"/>
  <c r="AB24" i="2"/>
  <c r="AB33" i="2" s="1"/>
  <c r="AB35" i="2" s="1"/>
  <c r="AA24" i="2"/>
  <c r="AA33" i="2" s="1"/>
  <c r="AA35" i="2" s="1"/>
  <c r="Z24" i="2"/>
  <c r="Z33" i="2" s="1"/>
  <c r="Z35" i="2" s="1"/>
  <c r="Y24" i="2"/>
  <c r="Y33" i="2" s="1"/>
  <c r="X24" i="2"/>
  <c r="X33" i="2" s="1"/>
  <c r="X35" i="2" l="1"/>
  <c r="Y35" i="2"/>
  <c r="N46" i="2"/>
  <c r="M46" i="2"/>
  <c r="L46" i="2"/>
  <c r="K46" i="2"/>
  <c r="M40" i="2"/>
  <c r="L40" i="2"/>
  <c r="K40" i="2"/>
  <c r="M17" i="2"/>
  <c r="L17" i="2"/>
  <c r="K17" i="2"/>
  <c r="M16" i="2"/>
  <c r="M18" i="2" s="1"/>
  <c r="L16" i="2"/>
  <c r="L18" i="2" s="1"/>
  <c r="K16" i="2"/>
  <c r="AB51" i="2"/>
  <c r="AB52" i="2" s="1"/>
  <c r="AA51" i="2"/>
  <c r="AA52" i="2" s="1"/>
  <c r="Z51" i="2"/>
  <c r="Z52" i="2" s="1"/>
  <c r="Y51" i="2"/>
  <c r="Y52" i="2" s="1"/>
  <c r="X51" i="2"/>
  <c r="X52" i="2" s="1"/>
  <c r="AB74" i="2"/>
  <c r="X73" i="2"/>
  <c r="X74" i="2" s="1"/>
  <c r="K18" i="2" l="1"/>
  <c r="M114" i="2"/>
  <c r="L114" i="2"/>
  <c r="K114" i="2"/>
  <c r="N102" i="2" l="1"/>
  <c r="N104" i="2" s="1"/>
  <c r="M102" i="2"/>
  <c r="M104" i="2" s="1"/>
  <c r="L102" i="2"/>
  <c r="L104" i="2" s="1"/>
  <c r="K102" i="2"/>
  <c r="K104" i="2" s="1"/>
  <c r="N119" i="2"/>
  <c r="AB91" i="2"/>
  <c r="AB92" i="2" s="1"/>
  <c r="AA91" i="2"/>
  <c r="AA92" i="2" s="1"/>
  <c r="Z91" i="2"/>
  <c r="Z92" i="2" s="1"/>
  <c r="Y91" i="2"/>
  <c r="Y92" i="2" s="1"/>
  <c r="X91" i="2"/>
  <c r="X92" i="2" s="1"/>
  <c r="X102" i="2"/>
  <c r="X104" i="2" s="1"/>
  <c r="X113" i="2" s="1"/>
  <c r="X114" i="2" s="1"/>
  <c r="M126" i="2"/>
  <c r="L126" i="2"/>
  <c r="K126" i="2"/>
  <c r="AB12" i="2"/>
  <c r="N12" i="2" l="1"/>
  <c r="M7" i="2"/>
  <c r="M8" i="2" s="1"/>
  <c r="L7" i="2"/>
  <c r="L8" i="2" s="1"/>
  <c r="K7" i="2"/>
  <c r="K8" i="2" s="1"/>
  <c r="M11" i="2"/>
  <c r="L11" i="2"/>
  <c r="K11" i="2"/>
  <c r="AB109" i="2"/>
  <c r="M95" i="2" l="1"/>
  <c r="M97" i="2" s="1"/>
  <c r="K95" i="2"/>
  <c r="K97" i="2" s="1"/>
  <c r="L95" i="2"/>
  <c r="L97" i="2" s="1"/>
  <c r="X126" i="2" l="1"/>
  <c r="X46" i="2"/>
  <c r="X40" i="2"/>
  <c r="X18" i="2"/>
  <c r="AA73" i="2"/>
  <c r="AA74" i="2" s="1"/>
  <c r="Z73" i="2"/>
  <c r="Z74" i="2" s="1"/>
  <c r="Y73" i="2"/>
  <c r="Y74" i="2" s="1"/>
  <c r="AB18" i="2"/>
  <c r="AA18" i="2"/>
  <c r="Z18" i="2"/>
  <c r="AB7" i="2"/>
  <c r="AB8" i="2" s="1"/>
  <c r="AB95" i="2" s="1"/>
  <c r="AB97" i="2" s="1"/>
  <c r="AA7" i="2"/>
  <c r="AA8" i="2" s="1"/>
  <c r="AA95" i="2" s="1"/>
  <c r="AA97" i="2" s="1"/>
  <c r="AA108" i="2" s="1"/>
  <c r="AA109" i="2" s="1"/>
  <c r="Z7" i="2"/>
  <c r="Z8" i="2" s="1"/>
  <c r="Z95" i="2" s="1"/>
  <c r="Z97" i="2" s="1"/>
  <c r="Z108" i="2" s="1"/>
  <c r="Z109" i="2" s="1"/>
  <c r="AB11" i="2"/>
  <c r="AA11" i="2"/>
  <c r="Z11" i="2"/>
  <c r="AB126" i="2"/>
  <c r="AA126" i="2"/>
  <c r="Z126" i="2"/>
  <c r="AB102" i="2"/>
  <c r="AB104" i="2" s="1"/>
  <c r="AB113" i="2" s="1"/>
  <c r="AB114" i="2" s="1"/>
  <c r="AA102" i="2"/>
  <c r="AA104" i="2" s="1"/>
  <c r="AA113" i="2" s="1"/>
  <c r="AA114" i="2" s="1"/>
  <c r="Z102" i="2"/>
  <c r="Z104" i="2" s="1"/>
  <c r="Z113" i="2" s="1"/>
  <c r="Z114" i="2" s="1"/>
  <c r="Y102" i="2"/>
  <c r="AB46" i="2"/>
  <c r="AA46" i="2"/>
  <c r="Z46" i="2"/>
  <c r="Y46" i="2"/>
  <c r="AB40" i="2"/>
  <c r="AA40" i="2"/>
  <c r="Z40" i="2"/>
  <c r="Y40" i="2"/>
  <c r="N40" i="2"/>
  <c r="Y18" i="2"/>
  <c r="N18" i="2"/>
  <c r="M12" i="2" l="1"/>
  <c r="M13" i="2" s="1"/>
  <c r="AA12" i="2"/>
  <c r="AA13" i="2" s="1"/>
  <c r="L12" i="2"/>
  <c r="L13" i="2" s="1"/>
  <c r="Z12" i="2"/>
  <c r="Z13" i="2" s="1"/>
  <c r="AB13" i="2"/>
  <c r="N7" i="2"/>
  <c r="N126" i="2"/>
  <c r="Y126" i="2"/>
  <c r="Y104" i="2" l="1"/>
  <c r="Y113" i="2" s="1"/>
  <c r="Y114" i="2" s="1"/>
  <c r="N109" i="2"/>
  <c r="N114" i="2"/>
  <c r="N8" i="2"/>
  <c r="Y7" i="2"/>
  <c r="Y8" i="2" s="1"/>
  <c r="Y95" i="2" s="1"/>
  <c r="Y97" i="2" s="1"/>
  <c r="Y108" i="2" s="1"/>
  <c r="Y109" i="2" s="1"/>
  <c r="N13" i="2" l="1"/>
  <c r="N95" i="2"/>
  <c r="N97" i="2" s="1"/>
  <c r="N120" i="2"/>
  <c r="N121" i="2" s="1"/>
  <c r="N11" i="2"/>
  <c r="Y11" i="2"/>
  <c r="K12" i="2" l="1"/>
  <c r="K13" i="2" s="1"/>
  <c r="Y12" i="2"/>
  <c r="Y13" i="2" s="1"/>
  <c r="S91" i="2"/>
  <c r="S88" i="2"/>
  <c r="S82" i="2"/>
  <c r="S79" i="2"/>
  <c r="S24" i="2"/>
  <c r="F24" i="2"/>
  <c r="E88" i="2" l="1"/>
  <c r="E91" i="2"/>
  <c r="E82" i="2"/>
  <c r="E79" i="2" l="1"/>
  <c r="E65" i="2" l="1"/>
  <c r="E64" i="2"/>
  <c r="E63" i="2"/>
  <c r="E62" i="2"/>
  <c r="E61" i="2"/>
  <c r="E66" i="2" s="1"/>
  <c r="S57" i="2" l="1"/>
  <c r="E57" i="2"/>
  <c r="S51" i="2"/>
  <c r="E51" i="2"/>
  <c r="S73" i="2"/>
  <c r="S74" i="2" s="1"/>
  <c r="S102" i="2"/>
  <c r="E102" i="2"/>
  <c r="S11" i="2"/>
  <c r="E11" i="2"/>
  <c r="E7" i="2"/>
  <c r="E8" i="2" s="1"/>
  <c r="Q12" i="2" l="1"/>
  <c r="Q13" i="2" s="1"/>
  <c r="R12" i="2"/>
  <c r="R13" i="2" s="1"/>
  <c r="S126" i="2"/>
  <c r="S109" i="2"/>
  <c r="S104" i="2"/>
  <c r="S113" i="2" s="1"/>
  <c r="S114" i="2" s="1"/>
  <c r="S92" i="2"/>
  <c r="S83" i="2"/>
  <c r="S68" i="2"/>
  <c r="S67" i="2"/>
  <c r="S58" i="2"/>
  <c r="S52" i="2"/>
  <c r="S46" i="2"/>
  <c r="S40" i="2"/>
  <c r="S35" i="2"/>
  <c r="S30" i="2"/>
  <c r="S18" i="2"/>
  <c r="S8" i="2"/>
  <c r="E126" i="2"/>
  <c r="E104" i="2"/>
  <c r="E113" i="2" s="1"/>
  <c r="E114" i="2" s="1"/>
  <c r="E92" i="2"/>
  <c r="E83" i="2"/>
  <c r="E68" i="2"/>
  <c r="E67" i="2"/>
  <c r="E58" i="2"/>
  <c r="E52" i="2"/>
  <c r="E46" i="2"/>
  <c r="E40" i="2"/>
  <c r="E18" i="2"/>
  <c r="S95" i="2" l="1"/>
  <c r="S97" i="2" s="1"/>
  <c r="E95" i="2"/>
  <c r="E97" i="2" s="1"/>
  <c r="W46" i="2"/>
  <c r="V46" i="2"/>
  <c r="U46" i="2"/>
  <c r="T46" i="2"/>
  <c r="G46" i="2"/>
  <c r="H46" i="2"/>
  <c r="I46" i="2"/>
  <c r="J46" i="2"/>
  <c r="F46" i="2"/>
  <c r="J68" i="2" l="1"/>
  <c r="J67" i="2"/>
  <c r="X11" i="2" l="1"/>
  <c r="X7" i="2"/>
  <c r="X8" i="2" s="1"/>
  <c r="F73" i="2"/>
  <c r="J74" i="2"/>
  <c r="X13" i="2" l="1"/>
  <c r="X95" i="2"/>
  <c r="X97" i="2" s="1"/>
  <c r="X108" i="2" s="1"/>
  <c r="X109" i="2" s="1"/>
  <c r="W7" i="2"/>
  <c r="W8" i="2" s="1"/>
  <c r="V7" i="2"/>
  <c r="V8" i="2" s="1"/>
  <c r="U7" i="2"/>
  <c r="U8" i="2" s="1"/>
  <c r="T7" i="2"/>
  <c r="T8" i="2" s="1"/>
  <c r="J7" i="2"/>
  <c r="J8" i="2" s="1"/>
  <c r="I7" i="2"/>
  <c r="I8" i="2" s="1"/>
  <c r="H7" i="2"/>
  <c r="H8" i="2" s="1"/>
  <c r="G7" i="2"/>
  <c r="G8" i="2" s="1"/>
  <c r="F7" i="2"/>
  <c r="F8" i="2" s="1"/>
  <c r="G126" i="2" l="1"/>
  <c r="H126" i="2"/>
  <c r="I126" i="2"/>
  <c r="J126" i="2"/>
  <c r="T126" i="2"/>
  <c r="U126" i="2"/>
  <c r="V126" i="2"/>
  <c r="W126" i="2"/>
  <c r="F126" i="2"/>
  <c r="J119" i="2"/>
  <c r="F119" i="2"/>
  <c r="W102" i="2"/>
  <c r="W104" i="2" s="1"/>
  <c r="W113" i="2" s="1"/>
  <c r="W114" i="2" s="1"/>
  <c r="V102" i="2"/>
  <c r="V104" i="2" s="1"/>
  <c r="V113" i="2" s="1"/>
  <c r="V114" i="2" s="1"/>
  <c r="U102" i="2"/>
  <c r="U104" i="2" s="1"/>
  <c r="U113" i="2" s="1"/>
  <c r="U114" i="2" s="1"/>
  <c r="T102" i="2"/>
  <c r="T104" i="2" s="1"/>
  <c r="T113" i="2" s="1"/>
  <c r="T114" i="2" s="1"/>
  <c r="J102" i="2"/>
  <c r="J104" i="2" s="1"/>
  <c r="J113" i="2" s="1"/>
  <c r="J114" i="2" s="1"/>
  <c r="I102" i="2"/>
  <c r="I104" i="2" s="1"/>
  <c r="I113" i="2" s="1"/>
  <c r="I114" i="2" s="1"/>
  <c r="H102" i="2"/>
  <c r="H104" i="2" s="1"/>
  <c r="H113" i="2" s="1"/>
  <c r="H114" i="2" s="1"/>
  <c r="G102" i="2"/>
  <c r="G104" i="2" s="1"/>
  <c r="G113" i="2" s="1"/>
  <c r="G114" i="2" s="1"/>
  <c r="F102" i="2"/>
  <c r="F104" i="2" s="1"/>
  <c r="F113" i="2" s="1"/>
  <c r="F114" i="2" s="1"/>
  <c r="W91" i="2"/>
  <c r="V91" i="2"/>
  <c r="U91" i="2"/>
  <c r="T91" i="2"/>
  <c r="W88" i="2"/>
  <c r="V88" i="2"/>
  <c r="U88" i="2"/>
  <c r="T88" i="2"/>
  <c r="W82" i="2"/>
  <c r="V82" i="2"/>
  <c r="U82" i="2"/>
  <c r="T82" i="2"/>
  <c r="W79" i="2"/>
  <c r="V79" i="2"/>
  <c r="U79" i="2"/>
  <c r="T79" i="2"/>
  <c r="T83" i="2" l="1"/>
  <c r="T92" i="2"/>
  <c r="U92" i="2"/>
  <c r="U83" i="2"/>
  <c r="V83" i="2"/>
  <c r="V92" i="2"/>
  <c r="W83" i="2"/>
  <c r="W92" i="2"/>
  <c r="I91" i="2"/>
  <c r="H91" i="2"/>
  <c r="G91" i="2"/>
  <c r="F91" i="2"/>
  <c r="J88" i="2"/>
  <c r="J92" i="2" s="1"/>
  <c r="I88" i="2"/>
  <c r="H88" i="2"/>
  <c r="G88" i="2"/>
  <c r="F88" i="2"/>
  <c r="G82" i="2"/>
  <c r="H82" i="2"/>
  <c r="I82" i="2"/>
  <c r="J82" i="2"/>
  <c r="G79" i="2"/>
  <c r="G83" i="2" s="1"/>
  <c r="H79" i="2"/>
  <c r="H83" i="2" s="1"/>
  <c r="I79" i="2"/>
  <c r="J79" i="2"/>
  <c r="I92" i="2" l="1"/>
  <c r="J83" i="2"/>
  <c r="I83" i="2"/>
  <c r="H92" i="2"/>
  <c r="G92" i="2"/>
  <c r="F92" i="2"/>
  <c r="F82" i="2" l="1"/>
  <c r="F79" i="2"/>
  <c r="F83" i="2" l="1"/>
  <c r="T73" i="2"/>
  <c r="T74" i="2" s="1"/>
  <c r="F74" i="2"/>
  <c r="U73" i="2"/>
  <c r="U74" i="2" s="1"/>
  <c r="V73" i="2"/>
  <c r="V74" i="2" s="1"/>
  <c r="W74" i="2"/>
  <c r="G67" i="2"/>
  <c r="H67" i="2"/>
  <c r="I67" i="2"/>
  <c r="T67" i="2"/>
  <c r="U67" i="2"/>
  <c r="V67" i="2"/>
  <c r="W67" i="2"/>
  <c r="G68" i="2"/>
  <c r="H68" i="2"/>
  <c r="I68" i="2"/>
  <c r="T68" i="2"/>
  <c r="U68" i="2"/>
  <c r="V68" i="2"/>
  <c r="W68" i="2"/>
  <c r="F68" i="2"/>
  <c r="F67" i="2"/>
  <c r="W57" i="2" l="1"/>
  <c r="W58" i="2" s="1"/>
  <c r="V57" i="2"/>
  <c r="V58" i="2" s="1"/>
  <c r="U57" i="2"/>
  <c r="U58" i="2" s="1"/>
  <c r="T57" i="2"/>
  <c r="T58" i="2" s="1"/>
  <c r="J57" i="2"/>
  <c r="J58" i="2" s="1"/>
  <c r="I57" i="2"/>
  <c r="I58" i="2" s="1"/>
  <c r="H57" i="2"/>
  <c r="H58" i="2" s="1"/>
  <c r="G57" i="2"/>
  <c r="G58" i="2" s="1"/>
  <c r="F57" i="2"/>
  <c r="F58" i="2" s="1"/>
  <c r="W51" i="2"/>
  <c r="W52" i="2" s="1"/>
  <c r="V51" i="2"/>
  <c r="V52" i="2" s="1"/>
  <c r="U51" i="2"/>
  <c r="U52" i="2" s="1"/>
  <c r="T51" i="2"/>
  <c r="T52" i="2" s="1"/>
  <c r="G51" i="2"/>
  <c r="G52" i="2" s="1"/>
  <c r="H51" i="2"/>
  <c r="H52" i="2" s="1"/>
  <c r="I51" i="2"/>
  <c r="I52" i="2" s="1"/>
  <c r="J51" i="2"/>
  <c r="J52" i="2" s="1"/>
  <c r="F51" i="2"/>
  <c r="F52" i="2" s="1"/>
  <c r="W40" i="2"/>
  <c r="V40" i="2"/>
  <c r="U40" i="2"/>
  <c r="T40" i="2"/>
  <c r="G40" i="2"/>
  <c r="H40" i="2"/>
  <c r="I40" i="2"/>
  <c r="J40" i="2"/>
  <c r="F40" i="2"/>
  <c r="J34" i="2" l="1"/>
  <c r="J24" i="2"/>
  <c r="J33" i="2" s="1"/>
  <c r="J35" i="2" l="1"/>
  <c r="W30" i="2" l="1"/>
  <c r="W34" i="2" s="1"/>
  <c r="V30" i="2"/>
  <c r="V34" i="2" s="1"/>
  <c r="U30" i="2"/>
  <c r="U34" i="2" s="1"/>
  <c r="T30" i="2"/>
  <c r="T34" i="2" s="1"/>
  <c r="F30" i="2"/>
  <c r="F34" i="2" s="1"/>
  <c r="T24" i="2"/>
  <c r="T33" i="2" s="1"/>
  <c r="U24" i="2"/>
  <c r="U33" i="2" s="1"/>
  <c r="V24" i="2"/>
  <c r="V33" i="2" s="1"/>
  <c r="W24" i="2"/>
  <c r="W33" i="2" s="1"/>
  <c r="F33" i="2"/>
  <c r="V35" i="2" l="1"/>
  <c r="W35" i="2"/>
  <c r="T35" i="2"/>
  <c r="U35" i="2"/>
  <c r="F35" i="2"/>
  <c r="W11" i="2" l="1"/>
  <c r="V11" i="2"/>
  <c r="U11" i="2"/>
  <c r="T11" i="2"/>
  <c r="T95" i="2"/>
  <c r="T97" i="2" s="1"/>
  <c r="T108" i="2" s="1"/>
  <c r="T109" i="2" s="1"/>
  <c r="U95" i="2"/>
  <c r="U97" i="2" s="1"/>
  <c r="U108" i="2" s="1"/>
  <c r="U109" i="2" s="1"/>
  <c r="V95" i="2"/>
  <c r="V97" i="2" s="1"/>
  <c r="V108" i="2" s="1"/>
  <c r="V109" i="2" s="1"/>
  <c r="W95" i="2"/>
  <c r="W97" i="2" s="1"/>
  <c r="W108" i="2" s="1"/>
  <c r="W109" i="2" s="1"/>
  <c r="G11" i="2"/>
  <c r="H11" i="2"/>
  <c r="I11" i="2"/>
  <c r="J11" i="2"/>
  <c r="F11" i="2"/>
  <c r="G95" i="2"/>
  <c r="G97" i="2" s="1"/>
  <c r="H95" i="2"/>
  <c r="H97" i="2" s="1"/>
  <c r="I95" i="2"/>
  <c r="I97" i="2" s="1"/>
  <c r="J13" i="2"/>
  <c r="U18" i="2"/>
  <c r="V18" i="2"/>
  <c r="W18" i="2"/>
  <c r="T18" i="2"/>
  <c r="G18" i="2"/>
  <c r="H18" i="2"/>
  <c r="I18" i="2"/>
  <c r="J18" i="2"/>
  <c r="F18" i="2"/>
  <c r="C12" i="2" l="1"/>
  <c r="C13" i="2" s="1"/>
  <c r="D12" i="2"/>
  <c r="D13" i="2" s="1"/>
  <c r="S12" i="2"/>
  <c r="S13" i="2" s="1"/>
  <c r="E12" i="2"/>
  <c r="E13" i="2" s="1"/>
  <c r="J95" i="2"/>
  <c r="J97" i="2" s="1"/>
  <c r="J108" i="2" s="1"/>
  <c r="J109" i="2" s="1"/>
  <c r="J120" i="2"/>
  <c r="J121" i="2" s="1"/>
  <c r="F95" i="2"/>
  <c r="F97" i="2" s="1"/>
  <c r="F108" i="2" s="1"/>
  <c r="F109" i="2" s="1"/>
  <c r="F120" i="2"/>
  <c r="F121" i="2" s="1"/>
  <c r="G12" i="2"/>
  <c r="G13" i="2" s="1"/>
  <c r="F12" i="2"/>
  <c r="F13" i="2" s="1"/>
  <c r="H12" i="2"/>
  <c r="H13" i="2" s="1"/>
  <c r="I12" i="2"/>
  <c r="I13" i="2" s="1"/>
  <c r="T12" i="2"/>
  <c r="T13" i="2" s="1"/>
  <c r="W12" i="2"/>
  <c r="W13" i="2" s="1"/>
  <c r="V12" i="2"/>
  <c r="V13" i="2" s="1"/>
  <c r="U12" i="2"/>
  <c r="U13" i="2" s="1"/>
  <c r="B57" i="2" l="1"/>
  <c r="B58" i="2" s="1"/>
  <c r="P57" i="2"/>
  <c r="P58" i="2" s="1"/>
  <c r="P46" i="2" l="1"/>
  <c r="B46" i="2"/>
  <c r="B7" i="2" l="1"/>
  <c r="P34" i="2" l="1"/>
  <c r="P51" i="2" l="1"/>
  <c r="P52" i="2" s="1"/>
  <c r="P40" i="2"/>
  <c r="B51" i="2"/>
  <c r="B52" i="2" s="1"/>
  <c r="B40" i="2"/>
  <c r="P33" i="2" l="1"/>
  <c r="P35" i="2" s="1"/>
  <c r="B18" i="2" l="1"/>
  <c r="P18" i="2"/>
  <c r="B8" i="2" l="1"/>
  <c r="B124" i="2"/>
  <c r="B126" i="2" s="1"/>
  <c r="B102" i="2"/>
  <c r="B104" i="2" s="1"/>
  <c r="B11" i="2"/>
  <c r="P8" i="2"/>
  <c r="P124" i="2" l="1"/>
  <c r="P126" i="2" s="1"/>
  <c r="P100" i="2"/>
  <c r="P102" i="2" s="1"/>
  <c r="P104" i="2" s="1"/>
  <c r="P11" i="2"/>
  <c r="B12" i="2" s="1"/>
  <c r="B13" i="2" s="1"/>
  <c r="B95" i="2"/>
  <c r="B97" i="2" s="1"/>
  <c r="B113" i="2"/>
  <c r="B114" i="2" s="1"/>
  <c r="P95" i="2"/>
  <c r="P97" i="2" s="1"/>
  <c r="P108" i="2" l="1"/>
  <c r="P109" i="2" s="1"/>
  <c r="P12" i="2"/>
  <c r="P13" i="2" s="1"/>
  <c r="P113" i="2"/>
  <c r="P114" i="2" s="1"/>
</calcChain>
</file>

<file path=xl/sharedStrings.xml><?xml version="1.0" encoding="utf-8"?>
<sst xmlns="http://schemas.openxmlformats.org/spreadsheetml/2006/main" count="203" uniqueCount="148">
  <si>
    <t>Alternative resultatmål</t>
  </si>
  <si>
    <t>Egenkapitalavkastning etter skatt</t>
  </si>
  <si>
    <t>Utlånsvekst</t>
  </si>
  <si>
    <t>Utdelingsbrøk utbytte</t>
  </si>
  <si>
    <t>Utlånsmargin</t>
  </si>
  <si>
    <t>Innskuddsmargin</t>
  </si>
  <si>
    <t>Netto rentemargin</t>
  </si>
  <si>
    <t>Netto tapsutsatte kredittengasjementer av brutto utlån</t>
  </si>
  <si>
    <t>Netto misligholdte kredittengasjementer av brutto utlån</t>
  </si>
  <si>
    <t>Andel fastrenteinnskudd</t>
  </si>
  <si>
    <t>Innskuddsdekning</t>
  </si>
  <si>
    <t>Overskuddslikviditet</t>
  </si>
  <si>
    <t>Resultat tilordnet aksjonærer pr. aksje</t>
  </si>
  <si>
    <t>Aksjonærenes egenkapital pr. aksje</t>
  </si>
  <si>
    <t>Nedskrivinger og tap</t>
  </si>
  <si>
    <t>Resultattall</t>
  </si>
  <si>
    <t>Balansetall</t>
  </si>
  <si>
    <t>Aksjerelaterte nøkkeltall</t>
  </si>
  <si>
    <t>Pris / inntjening</t>
  </si>
  <si>
    <t>Pris / bokført egenkapital</t>
  </si>
  <si>
    <t>Kostnadsbrøk</t>
  </si>
  <si>
    <t>Egenkapital i % av forvaltningskapital</t>
  </si>
  <si>
    <t>Gjennomsnittlig forvaltningskapital i perioden</t>
  </si>
  <si>
    <t>Innskuddsvekst siste 12 måneder</t>
  </si>
  <si>
    <t>Kostnadsprosent</t>
  </si>
  <si>
    <t>Sum driftskostnader før nedskrivinger og tap</t>
  </si>
  <si>
    <t>Sum inntekter</t>
  </si>
  <si>
    <t>Q3-18</t>
  </si>
  <si>
    <t>Q2-18</t>
  </si>
  <si>
    <t>Q1-18</t>
  </si>
  <si>
    <t>Q4-17</t>
  </si>
  <si>
    <t>(NOK 1000)</t>
  </si>
  <si>
    <t>Egenskapitalavkastning etter skatt</t>
  </si>
  <si>
    <t>Totalresultat for perioden</t>
  </si>
  <si>
    <t>Renter fondsobligasjon</t>
  </si>
  <si>
    <t>Aksjonærenes andel av resultatet etter skatt</t>
  </si>
  <si>
    <t>Egenkapital</t>
  </si>
  <si>
    <t>Fondsobligasjonslån</t>
  </si>
  <si>
    <t>Egenkapital ekskl. hybridkapital</t>
  </si>
  <si>
    <t xml:space="preserve">Bidrag utlån </t>
  </si>
  <si>
    <t>Gjennomsnittlig egenkapital ekskl. hybridkapital (pr kvartal)</t>
  </si>
  <si>
    <t>Gjennomsnitt utlån til kunder (pr dag)</t>
  </si>
  <si>
    <t>Gjennomsnitt Nibor 3 mnd (pr måned)</t>
  </si>
  <si>
    <t>Bidrag innskudd</t>
  </si>
  <si>
    <t>Gjennomsnitt innskudd fra kunder (pr dag)</t>
  </si>
  <si>
    <t>Innskudd fra kunder</t>
  </si>
  <si>
    <t>Utlån til kunder</t>
  </si>
  <si>
    <t>Kontanter og fordringer på sentralbanker</t>
  </si>
  <si>
    <t>Utlån og fordringer på kredittinstitusjoner</t>
  </si>
  <si>
    <t xml:space="preserve">Sertifikater og obligasjoner </t>
  </si>
  <si>
    <t>Utlånsvekst siste 12 måneder</t>
  </si>
  <si>
    <t>Innskuddsvekst</t>
  </si>
  <si>
    <t>Pt innskudd privat</t>
  </si>
  <si>
    <t>Plasseringskonto</t>
  </si>
  <si>
    <t>Klientmidler</t>
  </si>
  <si>
    <t>Fastrenteinnskudd (ekskl. påløpte renter)</t>
  </si>
  <si>
    <t>Totalt (ekskl. påløpte renter)</t>
  </si>
  <si>
    <t>Pt innskudd bedrift</t>
  </si>
  <si>
    <t>Andel plasseringskonto</t>
  </si>
  <si>
    <t>Andel  plasseringskonto med likviditetsbinding</t>
  </si>
  <si>
    <t>Andel fastrenteinnskudd &amp; plasseringskonto med likviditetsbinding</t>
  </si>
  <si>
    <t>Nedskrivninger og tap på utlån og garantier</t>
  </si>
  <si>
    <t>Utlån til kunder -12 måneder</t>
  </si>
  <si>
    <t>Gjennomsnittlig utlån til kunder (pr år/kvartal)</t>
  </si>
  <si>
    <t>Brutto misligholdte kredittengasjementer</t>
  </si>
  <si>
    <t>Nedskrivinger på misligholde kredittengasjementer</t>
  </si>
  <si>
    <t>Netto misligholdte kredittengasjementer</t>
  </si>
  <si>
    <t>Nedskrivinger på utlån til kunder</t>
  </si>
  <si>
    <t>Brutto utlån til kunder</t>
  </si>
  <si>
    <t>Brutto tapsutsatte ikke misligholdte kredittengasjementer</t>
  </si>
  <si>
    <t>Nedskrivinger på tapsutsatte kredittengasjementer</t>
  </si>
  <si>
    <t>Netto tapsutsatte kredittengasjementer</t>
  </si>
  <si>
    <t>Antall aksjer</t>
  </si>
  <si>
    <t>Resultat tilordnet aksjonærer pr. aksje (NOK)</t>
  </si>
  <si>
    <t>Aksjonærenes egenkapital pr. aksje (NOK)</t>
  </si>
  <si>
    <t>Aksjekurs (NOK)</t>
  </si>
  <si>
    <t>Resultat per aksje (NOK)</t>
  </si>
  <si>
    <t>Utbytte pr. aksjer (NOK)</t>
  </si>
  <si>
    <t>Antall askjer</t>
  </si>
  <si>
    <t>Utbytte (NOK 1000)</t>
  </si>
  <si>
    <t>Eiendeler / forvaltningskapital</t>
  </si>
  <si>
    <t>Netto rentemargin er definert som differansen mellom bankens utlånsmargin og innskuddsmargin (se definisjonene over).</t>
  </si>
  <si>
    <t>Netto rentemargin er et nyttig mål for å vise den underliggende lønnsomheten i bankens drift. Utlånsrente og innskuddsrente er de primære kildene for hhv. bankens inntekter og kostnader. Utviklingen i netto rentemargin over tid gir en forståelse for utviklingen i bankens inntekter og kostnader utenom poster som kan variere over tid, som gevinster på finansielle instrumenter, inntekter fra tilknyttede selskaper eller nedskrivinger og tap.</t>
  </si>
  <si>
    <t>Nedskrivings- og tapsprosent</t>
  </si>
  <si>
    <t>Nedskrivings- og tapsprosent er en indikator på kvaliteten i bankens utlånsportefølje og bankens evne til å vurdere kredittrisiko over tid.</t>
  </si>
  <si>
    <t>Alternative resultatmål (APM) for Pareto Bank ASA</t>
  </si>
  <si>
    <t>Definisjon og begrunnelse for bruk av resultatmålet</t>
  </si>
  <si>
    <t xml:space="preserve">Innskuddsvekst siste 12 måneder er definert som differansen i prosent mellom innskudd fra kunder fra gjeldende tidspunkt og for 12 måneder siden. </t>
  </si>
  <si>
    <t>Andel fastrenteinnskudd forteller hvor mye av innskuddsmassen har en likviditets- og rentebinding. En større andel likviditetsbinding vil kunne indikere redusert sannsynlighet for bortfall av innskudd. Rentebindingen vil si at rentekostnaden for den type innskudd vil ligge fast over innskuddets løpetid.</t>
  </si>
  <si>
    <t>Andel plasseringskonto forteller hvor mye av innskuddsmassen har en likviditetsbinding i tillegg til fastrenteinnskudd. En større andel likviditetsbinding vil kunne indikere redusert sannsynlighet for bortfall av innskudd.</t>
  </si>
  <si>
    <t xml:space="preserve">Aksjonærenes egenkapital pr. aksje er definert som bankens egenkapital eksklusiv hybridkapital delt på antall aksjer. </t>
  </si>
  <si>
    <t xml:space="preserve">Pris / inntjening er en brøk definert som aksjekursen i NOK delt på resultat per aksje (se definisjonen over). </t>
  </si>
  <si>
    <t>Denne brøken heter ofte "Price/Book" og er et utbredt nøkkeltal brukt for å vurdere om aksjen er over- eller underpriset i forhold til bankens balanse. Tallet er egnet til å sammenligne prising av aksjen mellom selskaper.</t>
  </si>
  <si>
    <t>Denne brøken heter ofte "Price/Earnings" og er et utbredt nøkkeltal brukt for å vurdere hvor mye fremtidig inntjening er priset inn i aksjens kurs. Tallet er egnet til å sammenligne lønnsomhet og prising av aksjen mellom selskaper.</t>
  </si>
  <si>
    <t>Innskuddsdekning er et av flere mål på bankens likviditet. Innskudd er en stabil og langsiktig innskuddskilde og tallet gir informasjon om hvor mye av bankens finansiering kommer fra innskudd i motsetning til andre kilder. Ved å uttrykke innskudd i forhold til utlån kan tallet sammenlignes med andre perioder.</t>
  </si>
  <si>
    <t>Andel fastrenteinnskudd er definert som andelen fastrenteinnskudd eksklusiv påløpte renter over samlet innskuddsvolum eksklusiv påløpte renter. Tallet kan ikke avstemmes fra bankens perioderegnskap.</t>
  </si>
  <si>
    <t>Innvilgede kredittrammer</t>
  </si>
  <si>
    <t>Spart skatt på renter fondsobligasjon</t>
  </si>
  <si>
    <t xml:space="preserve">NB! Tall med blå bakgrunn er omarbeidet </t>
  </si>
  <si>
    <t>Q4-18*</t>
  </si>
  <si>
    <t>*) Q4-18 er revidert ihht endelig årsregnskap for 2018</t>
  </si>
  <si>
    <t>Innskudd fra kunder -12 måneder</t>
  </si>
  <si>
    <t>Pareto Bank presenterer alternative resultatmål (APM'er) som gir nyttig informasjon for å supplere regnskapet. Målene er ikke definert i IFRS (International Financial Reporting Standards) og er nødvendigvis ikke direkte sammenlignbare med andre selskapers resultatmål. APM'er er inkludert i bankens rapporter for å gi innsikt og forståelse for bankens resultatoppnåelse, og er ikke ment å erstatte eller overskygge regnskapstallene. Enkelte APM'er, som egenkapitalavkastning og utlånsvekst, er brukt i bankens guiding. Nøkkeltall som er regulert i IFRS eller annen lovgiving (f.eks. CRR/CRD IV) er ikke regnet som alternative resultatmål. Det samme gjelder for ikke-finansiell informasjon, f.eks. antall ansatte. Pareto Bank sine alternative resultatmål er presentert i nøkkeltallsoversikten og i styrets beregning. Alle APM'er presenteres med sammenligningstall. APM'ene som nevnt under har i stor grad vært brukt konsistent over tid. Der metode har vært endret er det spesifisert under.</t>
  </si>
  <si>
    <t xml:space="preserve">Kostnadsprosent er definert som sum kostnader før nedskrivinger og tap i prosent av sum inntekter. </t>
  </si>
  <si>
    <t>Utlånsmargin viser den underliggende lønnsomheten i bankens utlånsaktivitet. Ved å vise utlånsmarginen i forhold til Nibor kan man se inntektsevnen i forhold til rentenivået i markedet, og det gjør det mulig å sammenligne utlånsmarginer over tid og mellom banker. Utlånsrenten er den viktigste inntektskilden til banken og nivået på utlånsmargin er en indikator på bankens lønnsomhet over tid.</t>
  </si>
  <si>
    <t>Innskuddsmargin er definert som differansen mellom 3 måneders Nibor og rentekostnader på innskudd til kunder i forhold til gjennomsnittlig innskuddsvolum for perioden. Gjennomsnittlig innskuddsvolum og Nibor er definert som for utlånsmarginer (se over).</t>
  </si>
  <si>
    <t>Innskuddsmargin viser det underliggende kostnadsnivået knyttet til finansiering av bankens utlånsvirksomhet. Ved å vise innskuddsmarginen i forhold til Nibor kan man se kostnadene knyttet til innskuddsfinansiering i forhold til rentenivået i markedet, og det gjør det mulig å sammenligne innskuddsmargin over tid og mellom banker. Innskudd er den største finansieringskilden til banken og nivået på innskuddsmarginen er en indikator på bankens lønnsomhet over tid.</t>
  </si>
  <si>
    <t>Gjennomsnittlig forvaltningskapital er definert som gjennomsnittet av forvaltningskapital for hver måned i perioden. Forvaltningskapital er definert som sum eiendeler i balansen. Tallet er et gjennomsnitt av månedsverdier og kan dermed ikke avstemmes fra perioderegnskapet.</t>
  </si>
  <si>
    <t>Overskuddslikviditet er et mål på bankens likviditet. Det er et mål på bankens likvide midler som kan brukes til å gjøre opp fremtidige forpliktelser eller dekke bortfall av innskudd, økt utlån eller økt trekk på kredittrammer.</t>
  </si>
  <si>
    <t>Utlånsvekst siste 12 måneder er definert som differansen i prosent mellom utlån til kunder fra gjeldende tidspunkt og for 12 måneder siden. Sum utlån til kunder er utlån inklusiv nedskrivinger ihht. IFRS 9 og eksklusive ubenyttede kredittrammer og garantier.</t>
  </si>
  <si>
    <t>Innvilgede kredittrammer er definert som summen av kredittrammer som er innvilget til kunder i en periode, uavhengig av om kunden har akseptert, avslått eller åpnet lånet. Tallet kommer fra en intern oversikt og kan ikke avstemmes fra perioderegnskapet.</t>
  </si>
  <si>
    <t xml:space="preserve">Innvilgede kredittrammer er et mål på bankens aktivitetsnivå og kan være en indikator på fremtidig utlånsvolum. </t>
  </si>
  <si>
    <t>Aksjonærenes egenkapital pr. aksje er et mål på verdien av aksjen og hvor mye verdier i balansen som tilhører hver enkelt aksje.</t>
  </si>
  <si>
    <t>Utdelingsbrøk utbytte er definert som andel utbetalt utbytte delt på aksjonærenes andel av resultatet etter skatt (se definisjonen av egenkapitalavkastning over).</t>
  </si>
  <si>
    <t>Utdelingsbrøk heter også utbytte pr. askje, utdelingsforhold eller "dividend ratio" og forteller hvor stor andel av bankens resultat som deles ut som utbytte til aksjonærene. Tallet henger sammen med bankens utbyttepolicy som definerer et intervall for utdeling. Forventet utdelingsbrøk er en del av bankens guiding og gir investorer en forventning om hvor stor del av bankens resultat som utbetales under forskjellige omstendigheter.</t>
  </si>
  <si>
    <t>Innskuddsvekst er et nyttig mål for bankens innskuddsaktivitet over tid og kan indikere endringer i bankens finansiering eller likviditet.</t>
  </si>
  <si>
    <t>Resultat tilordnet aksjonærer pr. aksje er definert i IFRS og er ikke et APM. Tallet er tatt med i denne oversikten for å bedre forklare bankens aksjerelaterte nøkkeltall. Tallet utrykker verdiutviklingen per aksje for investorer.</t>
  </si>
  <si>
    <t>Egenkapitalavkastning er et nyttig resultatmål fordi den viser bankens inntjening for aksjonærene i forhold til kapitalisering. Tallet kan dermed brukes til å sammenligne bankens lønnsomhet over tid og lønnsomhet mellom banker eller andre selskaper. Egenkapital inngår i bankens guiding og gir et mål for bankens lønnsomhet.</t>
  </si>
  <si>
    <t>Kostnadsprosent beskriver bankens kostnadseffektivitet. Den viser i hvilken grad kostnader vil øke for å dekke en viss inntektsvekst.</t>
  </si>
  <si>
    <t>Gjennomsnittlig forvaltningskapital reflekterer bankens størrelse og vekst gjennom året.</t>
  </si>
  <si>
    <t>Innskuddsdekning er definert som sum innskudd fra kunder i prosent av sum utlån til kunder. Sum utlån til kunder er utlån inklusive nedskrivinger ihht. IFRS 9 og eksklusive ubenyttede kredittrammer og garantier.</t>
  </si>
  <si>
    <t>Utlånsvekst er et nyttig mål for bankens kunderettet aktivitet over tid. Utlånsveksten kan indikere fremtidig endring i rentenetto. Utlånsvekst kan også være knyttet til økt risiko. Banken bruker forventet utlånsvekst som en del av sin guiding. Det er ment å indikere en kombinasjon over aktivitetsnivået i markedsområdene banken betjener og hvor stor kapasitet banken har til å vokse.</t>
  </si>
  <si>
    <t>Andel plasseringskonto med likviditetsbinding er definert som andelen plasseringskonto over samlet innskuddsvolum eksklusiv påløpte renter. Pareto Banks plasseringskonto er en type innskuddskonto med flytende rente som bindes likviditetsmessig i en løpende 31-dagers perioder. Tallet kan ikke avstemmes fra perioderegnskapet.</t>
  </si>
  <si>
    <t>Nedskrivings- og tapsprosent er definert som bankens nedskrivings- og tapskostnader i forhold til gjennomsnittlig utlån til kunder i perioden. Utlån til kunder er utlån inklusiv nedskrivinger ihht. IFRS 9 og eksklusiv ubenyttede kredittrammer og garantier. Gjennomsnittet er beregnet med inngående og utgående balanseverdier i perioden. Beregningsmetoden er justert fra å annualisere kvartalstall til å ikke annualisere tallet. Tallet til og med Q3-18 er omarbeidet.</t>
  </si>
  <si>
    <t>Netto misligholdte kredittengasjementer av brutto utlån er definert som brutto misligholdte kredittengasjementer over 90 dager fratrukket nedskrivinger på misligholdte engasjementer i prosent av utlån til kunder eksklusiv nedkrivinger ihht. IFRS 9.</t>
  </si>
  <si>
    <t>Netto tapsutsatte kredittengasjementer av brutto utlån er definert som brutto tapsutsatte, ikke misligholdte kredittengasjementer fratrukket nedskrivinger på tapsutsatte, ikke misligholdte engasjementer i prosent av utlån til kunder eksklusiv nedkrivinger ihht. IFRS 9.</t>
  </si>
  <si>
    <t>Netto misligholdte kredittengasjementer av brutto utlån gir informasjon om kredittkvalitet i bankens utlånsportefølje. Tallet formidler andelen av misligholdet som kan føre til nedskrivinger eller tap som ikke allerede er kostnadsført.  Tallet er uavhengig av utlånsvolum og kan dermed sammenligns mellom perioder. Tallet kan ikke avstemmes fra perioderegnskapet.</t>
  </si>
  <si>
    <t>Netto misligholdte kredittengasjementer av brutto utlån gir informasjon om kredittkvalitet i bankens utlånsportefølje. Tallet formidler andelen av misligholdet som kan føre til nedskrivinger eller tap som ikke allerede er kostnadsført. Tallet er uavhengig av utlånsvolum og kan dermed sammenligns mellom perioder. Tallet kan ikke avstemmes fra perioderegnskapet.</t>
  </si>
  <si>
    <t>Pris / bokført egenkapital er en brøk definert som aksjekursen i NOK delt på aksjonærenes egenkapital per aksje (se definisjonen over).</t>
  </si>
  <si>
    <t>Resultat tilordnet aksjonærer pr. aksje er definert som aksjonærenes andel av resultatet etter skatt delt på antall aksjer. Aksjonærenes andel av resultatet etter skatt er resultat etter skatt eksklusiv konstnader knyttet til hybridkapital (se definisjonen av egenkapitalavkastning over).</t>
  </si>
  <si>
    <t>Egenkapital i % av forvaltningskapital er definert som bankens egenkapital inklusiv hybridkapital som prosent av bankens eiendeler (forvaltningskapital).</t>
  </si>
  <si>
    <t>Egenkapital i % av forvaltningskapital gir informasjon om bankens soliditet i tillegg til nøkkeltall som kapitaldekning (definert i CRR/CRD IV). Tallet gir et mål på hvor mye kapital i NOK som banken selv eier og som kan dekke uventet tap eller bortfall av lønnsomhet. I motsetning til kapitaldekning som benytter en risikovektet beregningsgrunnlag sier dette tallet hvor mye kapital som dekker bankens eksponering uanvhengig av risiko.</t>
  </si>
  <si>
    <t>Overskuddslikviditet er definert som summen av bankens kontanter og fordringer på sentralbanker, utlån og fordringer på kredittinstitusjoner, sertifikater og obligasjoner. Rapportert overskuddslikviditet i delårsrapporten for Q3-18 inkluderte også verdien av rentefond. Dette er omarbeidet i avstemmingen her.</t>
  </si>
  <si>
    <t>Q1-19</t>
  </si>
  <si>
    <t>Utlånsmargin er definert som bidrag utlån i forhold til gjennomsnittlig utlånsvolum fratrukket 3 måneders Nibor for perioden. Bidrag utlån i perioden inkluderer renter og andre gebyr- og provisjonsinntekter på utlån til kunder. Gjennomsnittlig utlånsvolum er regnet som et daglig gjennomsnitt av balanseverdier, og er dermed ikke mulig å avstemme fra perioderegnskapet. I beregningen brukes gjennomsnittet av Nibor fastsatt på den siste dagen i hver enkel måned. Alle gjennomsnitt er vektet med faktisk antall dager i perioden.</t>
  </si>
  <si>
    <t>Q3-17</t>
  </si>
  <si>
    <t>Q2-17</t>
  </si>
  <si>
    <t>Q1-17</t>
  </si>
  <si>
    <t>Q4-16</t>
  </si>
  <si>
    <t>Pr. kvartal</t>
  </si>
  <si>
    <t>Periode fra 01.01. til dato</t>
  </si>
  <si>
    <t>Q2-19</t>
  </si>
  <si>
    <t>inkl. emisjon</t>
  </si>
  <si>
    <t>eks. emisjon**</t>
  </si>
  <si>
    <t>**) Banken gjennomførte en egenkapitalemisjon på kr 400 mill. som ble innbetalt i slutten av kvartalet. Nøkkeltallene under "eks. emisjon" er vist for informasjon uten den netto emisjonsprovenyen og uten nyutstedte aksjer.</t>
  </si>
  <si>
    <t>Egenkapitalavkastning er definert som aksjonærenes andel av resultat etter skatt som prosent av gjennomsnittet av egenkapital ekskl. hybridkapital i perioden. Aksjonærenes andel av resultat uten skatt er resultat etter skatt fratrukket renter for hybridkapital etter skatt. Gjennomsnittet av egenkapital for ett kvartal er tatt på inngående og utgående verdi i kvartalet. Gjennomsnittet for et helt år er regnet som gjennomsnittet av verdi over fem kvartaler. For perioder over to eller tre kvartaler er gjennomsnittet et snitt av inngangsverdien og utgangsverdi av alle kvartaler i perioden. Beregningsmetoden er justert i Q4-2018. For Pareto Banks årsrapport 2016 og frem til delårsrapporten Q3-18 ble gjennomsnittlig egenkapital beregnet som et enkelt snitt mellom inngående og utgående verdi. Endringen gir et riktigere snitt av bankens egenkapital, og tar bedre hensyn til utbetaling av utbytte i løpet av året. Egenkapitalavkastning til og med Q3-18 er omarbeidet.</t>
  </si>
  <si>
    <t>Q3-19</t>
  </si>
  <si>
    <t>pr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</si>
</sst>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
    <numFmt numFmtId="166" formatCode="_(* #,##0.00_);_(* \(#,##0.0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name val="Arial"/>
      <family val="2"/>
    </font>
    <font>
      <sz val="11"/>
      <name val="Calibri"/>
      <family val="2"/>
      <scheme val="minor"/>
    </font>
    <font>
      <b/>
      <sz val="1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6" fontId="7" fillId="0" borderId="0" applyFont="0" applyFill="0" applyBorder="0" applyAlignment="0" applyProtection="0"/>
    <xf numFmtId="0" fontId="7" fillId="0" borderId="0"/>
  </cellStyleXfs>
  <cellXfs count="99">
    <xf numFmtId="0" fontId="0" fillId="0" borderId="0" xfId="0"/>
    <xf numFmtId="0" fontId="2" fillId="0" borderId="0" xfId="0" applyFont="1"/>
    <xf numFmtId="14" fontId="0" fillId="0" borderId="0" xfId="0" applyNumberFormat="1"/>
    <xf numFmtId="164" fontId="0" fillId="0" borderId="0" xfId="1" applyNumberFormat="1" applyFont="1"/>
    <xf numFmtId="10" fontId="0" fillId="0" borderId="0" xfId="2" applyNumberFormat="1" applyFont="1"/>
    <xf numFmtId="0" fontId="0" fillId="0" borderId="1" xfId="0" applyBorder="1"/>
    <xf numFmtId="164" fontId="0" fillId="0" borderId="1" xfId="1" applyNumberFormat="1" applyFont="1" applyBorder="1"/>
    <xf numFmtId="0" fontId="0" fillId="0" borderId="2" xfId="0" applyBorder="1"/>
    <xf numFmtId="164" fontId="0" fillId="0" borderId="2" xfId="1" applyNumberFormat="1" applyFont="1" applyBorder="1"/>
    <xf numFmtId="165" fontId="0" fillId="0" borderId="2" xfId="2" applyNumberFormat="1" applyFont="1" applyBorder="1"/>
    <xf numFmtId="10" fontId="0" fillId="0" borderId="2" xfId="2" applyNumberFormat="1" applyFont="1" applyBorder="1"/>
    <xf numFmtId="165" fontId="0" fillId="0" borderId="0" xfId="2" applyNumberFormat="1" applyFont="1"/>
    <xf numFmtId="43" fontId="0" fillId="0" borderId="0" xfId="1" applyFont="1"/>
    <xf numFmtId="165" fontId="0" fillId="0" borderId="0" xfId="0" applyNumberFormat="1"/>
    <xf numFmtId="165" fontId="0" fillId="0" borderId="1" xfId="0" applyNumberFormat="1" applyBorder="1"/>
    <xf numFmtId="165" fontId="0" fillId="0" borderId="2" xfId="0" applyNumberFormat="1" applyBorder="1"/>
    <xf numFmtId="165" fontId="0" fillId="0" borderId="1" xfId="2" applyNumberFormat="1" applyFont="1" applyBorder="1"/>
    <xf numFmtId="43" fontId="0" fillId="0" borderId="2" xfId="1" applyFont="1" applyBorder="1"/>
    <xf numFmtId="43" fontId="0" fillId="0" borderId="1" xfId="1" applyFont="1" applyBorder="1"/>
    <xf numFmtId="0" fontId="3" fillId="0" borderId="0" xfId="0" applyFont="1" applyAlignment="1">
      <alignment vertical="center"/>
    </xf>
    <xf numFmtId="0" fontId="4" fillId="0" borderId="0" xfId="0" applyFont="1" applyAlignment="1">
      <alignment wrapText="1"/>
    </xf>
    <xf numFmtId="0" fontId="4" fillId="0" borderId="0" xfId="0" applyFont="1"/>
    <xf numFmtId="0" fontId="3" fillId="0" borderId="1" xfId="0" applyFont="1" applyBorder="1" applyAlignment="1">
      <alignment vertical="center"/>
    </xf>
    <xf numFmtId="0" fontId="4" fillId="0" borderId="1" xfId="0" applyFont="1" applyBorder="1" applyAlignment="1">
      <alignment wrapText="1"/>
    </xf>
    <xf numFmtId="0" fontId="4" fillId="0" borderId="0" xfId="0" applyFont="1" applyAlignment="1">
      <alignment vertical="center"/>
    </xf>
    <xf numFmtId="0" fontId="5" fillId="2" borderId="1" xfId="0" applyFont="1" applyFill="1" applyBorder="1" applyAlignment="1">
      <alignment vertical="center"/>
    </xf>
    <xf numFmtId="0" fontId="6" fillId="2" borderId="1" xfId="0" applyFont="1" applyFill="1" applyBorder="1" applyAlignment="1">
      <alignment wrapText="1"/>
    </xf>
    <xf numFmtId="164" fontId="0" fillId="0" borderId="0" xfId="0" applyNumberFormat="1"/>
    <xf numFmtId="165" fontId="0" fillId="3" borderId="2" xfId="2" applyNumberFormat="1" applyFont="1" applyFill="1" applyBorder="1"/>
    <xf numFmtId="0" fontId="0" fillId="3" borderId="0" xfId="0" applyFill="1"/>
    <xf numFmtId="10" fontId="0" fillId="4" borderId="2" xfId="2" applyNumberFormat="1" applyFont="1" applyFill="1" applyBorder="1"/>
    <xf numFmtId="0" fontId="5" fillId="2" borderId="3" xfId="0" applyFont="1" applyFill="1" applyBorder="1" applyAlignment="1">
      <alignment vertical="center"/>
    </xf>
    <xf numFmtId="0" fontId="5" fillId="2" borderId="3" xfId="0" applyFont="1" applyFill="1" applyBorder="1" applyAlignment="1">
      <alignment wrapText="1"/>
    </xf>
    <xf numFmtId="164" fontId="0" fillId="4" borderId="2" xfId="1" applyNumberFormat="1" applyFont="1" applyFill="1" applyBorder="1"/>
    <xf numFmtId="164" fontId="1" fillId="0" borderId="0" xfId="1" applyNumberFormat="1" applyFont="1"/>
    <xf numFmtId="164" fontId="8" fillId="0" borderId="0" xfId="1" applyNumberFormat="1" applyFont="1"/>
    <xf numFmtId="0" fontId="8" fillId="0" borderId="0" xfId="0" applyFont="1"/>
    <xf numFmtId="0" fontId="9" fillId="0" borderId="0" xfId="0" applyFont="1"/>
    <xf numFmtId="164" fontId="0" fillId="0" borderId="0" xfId="1" applyNumberFormat="1" applyFont="1" applyBorder="1"/>
    <xf numFmtId="165" fontId="0" fillId="0" borderId="0" xfId="2" applyNumberFormat="1" applyFont="1" applyBorder="1"/>
    <xf numFmtId="43" fontId="0" fillId="0" borderId="0" xfId="1" applyFont="1" applyBorder="1"/>
    <xf numFmtId="164" fontId="0" fillId="0" borderId="0" xfId="1" applyNumberFormat="1" applyFont="1" applyFill="1" applyBorder="1"/>
    <xf numFmtId="2" fontId="0" fillId="0" borderId="0" xfId="0" applyNumberFormat="1"/>
    <xf numFmtId="43" fontId="0" fillId="0" borderId="2" xfId="1" applyFont="1" applyFill="1" applyBorder="1"/>
    <xf numFmtId="164" fontId="0" fillId="0" borderId="0" xfId="1" applyNumberFormat="1" applyFont="1" applyFill="1"/>
    <xf numFmtId="164" fontId="0" fillId="0" borderId="2" xfId="1" applyNumberFormat="1" applyFont="1" applyFill="1" applyBorder="1"/>
    <xf numFmtId="164" fontId="0" fillId="0" borderId="0" xfId="0" applyNumberFormat="1" applyFill="1"/>
    <xf numFmtId="0" fontId="0" fillId="0" borderId="0" xfId="0" applyFill="1"/>
    <xf numFmtId="43" fontId="0" fillId="0" borderId="0" xfId="1" applyFont="1" applyFill="1"/>
    <xf numFmtId="10" fontId="0" fillId="0" borderId="2" xfId="2" applyNumberFormat="1" applyFont="1" applyFill="1" applyBorder="1"/>
    <xf numFmtId="165" fontId="0" fillId="0" borderId="2" xfId="2" applyNumberFormat="1" applyFont="1" applyFill="1" applyBorder="1"/>
    <xf numFmtId="165" fontId="8" fillId="0" borderId="2" xfId="2" applyNumberFormat="1" applyFont="1" applyFill="1" applyBorder="1"/>
    <xf numFmtId="165" fontId="0" fillId="0" borderId="2" xfId="0" applyNumberFormat="1" applyFill="1" applyBorder="1"/>
    <xf numFmtId="164" fontId="0" fillId="5" borderId="0" xfId="1" applyNumberFormat="1" applyFont="1" applyFill="1"/>
    <xf numFmtId="0" fontId="0" fillId="5" borderId="0" xfId="0" applyFill="1"/>
    <xf numFmtId="164" fontId="0" fillId="5" borderId="0" xfId="0" applyNumberFormat="1" applyFill="1"/>
    <xf numFmtId="165" fontId="0" fillId="5" borderId="0" xfId="2" applyNumberFormat="1" applyFont="1" applyFill="1" applyBorder="1"/>
    <xf numFmtId="0" fontId="0" fillId="5" borderId="0" xfId="0" applyFill="1" applyBorder="1"/>
    <xf numFmtId="43" fontId="0" fillId="5" borderId="0" xfId="1" applyFont="1" applyFill="1"/>
    <xf numFmtId="164" fontId="0" fillId="5" borderId="0" xfId="1" applyNumberFormat="1" applyFont="1" applyFill="1" applyBorder="1"/>
    <xf numFmtId="0" fontId="0" fillId="5" borderId="2" xfId="0" applyFill="1" applyBorder="1"/>
    <xf numFmtId="164" fontId="0" fillId="5" borderId="1" xfId="1" applyNumberFormat="1" applyFont="1" applyFill="1" applyBorder="1"/>
    <xf numFmtId="165" fontId="0" fillId="5" borderId="2" xfId="2" applyNumberFormat="1" applyFont="1" applyFill="1" applyBorder="1"/>
    <xf numFmtId="43" fontId="0" fillId="5" borderId="0" xfId="0" applyNumberFormat="1" applyFill="1"/>
    <xf numFmtId="43" fontId="0" fillId="5" borderId="2" xfId="1" applyFont="1" applyFill="1" applyBorder="1"/>
    <xf numFmtId="10" fontId="0" fillId="5" borderId="2" xfId="2" applyNumberFormat="1" applyFont="1" applyFill="1" applyBorder="1"/>
    <xf numFmtId="165" fontId="0" fillId="0" borderId="1" xfId="2" applyNumberFormat="1" applyFont="1" applyFill="1" applyBorder="1"/>
    <xf numFmtId="165" fontId="0" fillId="0" borderId="0" xfId="0" applyNumberFormat="1" applyFill="1"/>
    <xf numFmtId="165" fontId="0" fillId="0" borderId="1" xfId="0" applyNumberFormat="1" applyFill="1" applyBorder="1"/>
    <xf numFmtId="164" fontId="0" fillId="0" borderId="1" xfId="1" applyNumberFormat="1" applyFont="1" applyFill="1" applyBorder="1"/>
    <xf numFmtId="164" fontId="8" fillId="5" borderId="0" xfId="1" applyNumberFormat="1" applyFont="1" applyFill="1"/>
    <xf numFmtId="165" fontId="8" fillId="5" borderId="1" xfId="2" applyNumberFormat="1" applyFont="1" applyFill="1" applyBorder="1"/>
    <xf numFmtId="165" fontId="8" fillId="5" borderId="2" xfId="2" applyNumberFormat="1" applyFont="1" applyFill="1" applyBorder="1"/>
    <xf numFmtId="165" fontId="0" fillId="5" borderId="1" xfId="0" applyNumberFormat="1" applyFill="1" applyBorder="1"/>
    <xf numFmtId="165" fontId="0" fillId="5" borderId="2" xfId="0" applyNumberFormat="1" applyFill="1" applyBorder="1"/>
    <xf numFmtId="165" fontId="0" fillId="5" borderId="1" xfId="2" applyNumberFormat="1" applyFont="1" applyFill="1" applyBorder="1"/>
    <xf numFmtId="165" fontId="8" fillId="5" borderId="0" xfId="2" applyNumberFormat="1" applyFont="1" applyFill="1"/>
    <xf numFmtId="165" fontId="8" fillId="5" borderId="1" xfId="0" applyNumberFormat="1" applyFont="1" applyFill="1" applyBorder="1"/>
    <xf numFmtId="165" fontId="8" fillId="5" borderId="2" xfId="0" applyNumberFormat="1" applyFont="1" applyFill="1" applyBorder="1"/>
    <xf numFmtId="165" fontId="0" fillId="5" borderId="0" xfId="0" applyNumberFormat="1" applyFill="1"/>
    <xf numFmtId="43" fontId="8" fillId="0" borderId="2" xfId="1" applyFont="1" applyFill="1" applyBorder="1"/>
    <xf numFmtId="165" fontId="0" fillId="0" borderId="0" xfId="2" applyNumberFormat="1" applyFont="1" applyFill="1" applyBorder="1"/>
    <xf numFmtId="165" fontId="0" fillId="0" borderId="0" xfId="0" applyNumberFormat="1" applyFill="1" applyBorder="1"/>
    <xf numFmtId="165" fontId="8" fillId="0" borderId="0" xfId="2" applyNumberFormat="1" applyFont="1" applyFill="1" applyBorder="1"/>
    <xf numFmtId="10" fontId="0" fillId="0" borderId="0" xfId="2" applyNumberFormat="1" applyFont="1" applyBorder="1"/>
    <xf numFmtId="10" fontId="0" fillId="0" borderId="0" xfId="2" applyNumberFormat="1" applyFont="1" applyFill="1" applyBorder="1"/>
    <xf numFmtId="43" fontId="0" fillId="0" borderId="0" xfId="1" applyFont="1" applyFill="1" applyBorder="1"/>
    <xf numFmtId="0" fontId="0" fillId="5" borderId="1" xfId="0" applyFill="1" applyBorder="1"/>
    <xf numFmtId="165" fontId="0" fillId="5" borderId="0" xfId="2" applyNumberFormat="1" applyFont="1" applyFill="1"/>
    <xf numFmtId="10" fontId="0" fillId="5" borderId="0" xfId="0" applyNumberFormat="1" applyFill="1"/>
    <xf numFmtId="43" fontId="0" fillId="0" borderId="1" xfId="1" applyFont="1" applyFill="1" applyBorder="1"/>
    <xf numFmtId="164" fontId="1" fillId="0" borderId="0" xfId="1" applyNumberFormat="1" applyFont="1" applyFill="1"/>
    <xf numFmtId="43" fontId="1" fillId="0" borderId="2" xfId="1" applyFont="1" applyFill="1" applyBorder="1"/>
    <xf numFmtId="164" fontId="0" fillId="5" borderId="2" xfId="0" applyNumberFormat="1" applyFill="1" applyBorder="1"/>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xf>
  </cellXfs>
  <cellStyles count="5">
    <cellStyle name="Comma" xfId="1" builtinId="3"/>
    <cellStyle name="Comma 2" xfId="3" xr:uid="{7E6F93B3-279C-4B65-8DD2-88866C42D8C4}"/>
    <cellStyle name="Normal" xfId="0" builtinId="0"/>
    <cellStyle name="Normal 2" xfId="4" xr:uid="{94963600-5E87-4001-953D-F4EC338BC20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4B48-9A2E-4568-87D7-7FEC5FFF2760}">
  <sheetPr codeName="Sheet1"/>
  <dimension ref="A1:B71"/>
  <sheetViews>
    <sheetView showGridLines="0" tabSelected="1" zoomScaleNormal="100" workbookViewId="0"/>
  </sheetViews>
  <sheetFormatPr defaultColWidth="9.140625" defaultRowHeight="12.75" x14ac:dyDescent="0.2"/>
  <cols>
    <col min="1" max="1" width="58.140625" style="24" customWidth="1"/>
    <col min="2" max="2" width="145.85546875" style="20" customWidth="1"/>
    <col min="3" max="16384" width="9.140625" style="21"/>
  </cols>
  <sheetData>
    <row r="1" spans="1:2" x14ac:dyDescent="0.2">
      <c r="A1" s="19" t="s">
        <v>85</v>
      </c>
    </row>
    <row r="2" spans="1:2" x14ac:dyDescent="0.2">
      <c r="A2" s="24" t="s">
        <v>147</v>
      </c>
    </row>
    <row r="3" spans="1:2" x14ac:dyDescent="0.2">
      <c r="A3" s="21"/>
    </row>
    <row r="4" spans="1:2" ht="53.25" customHeight="1" x14ac:dyDescent="0.2">
      <c r="A4" s="96" t="s">
        <v>102</v>
      </c>
      <c r="B4" s="96"/>
    </row>
    <row r="7" spans="1:2" x14ac:dyDescent="0.2">
      <c r="A7" s="31" t="s">
        <v>0</v>
      </c>
      <c r="B7" s="32" t="s">
        <v>86</v>
      </c>
    </row>
    <row r="8" spans="1:2" x14ac:dyDescent="0.2">
      <c r="A8" s="25" t="s">
        <v>15</v>
      </c>
      <c r="B8" s="26"/>
    </row>
    <row r="9" spans="1:2" ht="76.5" x14ac:dyDescent="0.2">
      <c r="A9" s="94" t="s">
        <v>1</v>
      </c>
      <c r="B9" s="20" t="s">
        <v>145</v>
      </c>
    </row>
    <row r="10" spans="1:2" ht="25.5" x14ac:dyDescent="0.2">
      <c r="A10" s="95"/>
      <c r="B10" s="23" t="s">
        <v>117</v>
      </c>
    </row>
    <row r="11" spans="1:2" x14ac:dyDescent="0.2">
      <c r="A11" s="94" t="s">
        <v>24</v>
      </c>
      <c r="B11" s="20" t="s">
        <v>103</v>
      </c>
    </row>
    <row r="12" spans="1:2" x14ac:dyDescent="0.2">
      <c r="A12" s="95"/>
      <c r="B12" s="23" t="s">
        <v>118</v>
      </c>
    </row>
    <row r="13" spans="1:2" ht="39.75" customHeight="1" x14ac:dyDescent="0.2">
      <c r="A13" s="94" t="s">
        <v>4</v>
      </c>
      <c r="B13" s="20" t="s">
        <v>134</v>
      </c>
    </row>
    <row r="14" spans="1:2" ht="38.25" x14ac:dyDescent="0.2">
      <c r="A14" s="95"/>
      <c r="B14" s="23" t="s">
        <v>104</v>
      </c>
    </row>
    <row r="15" spans="1:2" ht="25.5" x14ac:dyDescent="0.2">
      <c r="A15" s="94" t="s">
        <v>5</v>
      </c>
      <c r="B15" s="20" t="s">
        <v>105</v>
      </c>
    </row>
    <row r="16" spans="1:2" ht="38.25" x14ac:dyDescent="0.2">
      <c r="A16" s="95"/>
      <c r="B16" s="23" t="s">
        <v>106</v>
      </c>
    </row>
    <row r="17" spans="1:2" x14ac:dyDescent="0.2">
      <c r="A17" s="94" t="s">
        <v>6</v>
      </c>
      <c r="B17" s="20" t="s">
        <v>81</v>
      </c>
    </row>
    <row r="18" spans="1:2" ht="38.25" x14ac:dyDescent="0.2">
      <c r="A18" s="95"/>
      <c r="B18" s="23" t="s">
        <v>82</v>
      </c>
    </row>
    <row r="20" spans="1:2" x14ac:dyDescent="0.2">
      <c r="A20" s="22" t="s">
        <v>16</v>
      </c>
      <c r="B20" s="23"/>
    </row>
    <row r="21" spans="1:2" ht="25.5" x14ac:dyDescent="0.2">
      <c r="A21" s="94" t="s">
        <v>22</v>
      </c>
      <c r="B21" s="20" t="s">
        <v>107</v>
      </c>
    </row>
    <row r="22" spans="1:2" x14ac:dyDescent="0.2">
      <c r="A22" s="95"/>
      <c r="B22" s="23" t="s">
        <v>119</v>
      </c>
    </row>
    <row r="23" spans="1:2" ht="25.5" x14ac:dyDescent="0.2">
      <c r="A23" s="94" t="s">
        <v>10</v>
      </c>
      <c r="B23" s="20" t="s">
        <v>120</v>
      </c>
    </row>
    <row r="24" spans="1:2" ht="25.5" x14ac:dyDescent="0.2">
      <c r="A24" s="95"/>
      <c r="B24" s="23" t="s">
        <v>94</v>
      </c>
    </row>
    <row r="25" spans="1:2" ht="25.5" x14ac:dyDescent="0.2">
      <c r="A25" s="94" t="s">
        <v>11</v>
      </c>
      <c r="B25" s="20" t="s">
        <v>132</v>
      </c>
    </row>
    <row r="26" spans="1:2" ht="25.5" x14ac:dyDescent="0.2">
      <c r="A26" s="95"/>
      <c r="B26" s="23" t="s">
        <v>108</v>
      </c>
    </row>
    <row r="27" spans="1:2" ht="25.5" x14ac:dyDescent="0.2">
      <c r="A27" s="94" t="s">
        <v>50</v>
      </c>
      <c r="B27" s="20" t="s">
        <v>109</v>
      </c>
    </row>
    <row r="28" spans="1:2" ht="38.25" x14ac:dyDescent="0.2">
      <c r="A28" s="95"/>
      <c r="B28" s="23" t="s">
        <v>121</v>
      </c>
    </row>
    <row r="29" spans="1:2" ht="25.5" x14ac:dyDescent="0.2">
      <c r="A29" s="94" t="s">
        <v>96</v>
      </c>
      <c r="B29" s="20" t="s">
        <v>110</v>
      </c>
    </row>
    <row r="30" spans="1:2" x14ac:dyDescent="0.2">
      <c r="A30" s="95"/>
      <c r="B30" s="23" t="s">
        <v>111</v>
      </c>
    </row>
    <row r="31" spans="1:2" x14ac:dyDescent="0.2">
      <c r="A31" s="94" t="s">
        <v>23</v>
      </c>
      <c r="B31" s="20" t="s">
        <v>87</v>
      </c>
    </row>
    <row r="32" spans="1:2" x14ac:dyDescent="0.2">
      <c r="A32" s="95"/>
      <c r="B32" s="23" t="s">
        <v>115</v>
      </c>
    </row>
    <row r="33" spans="1:2" ht="25.5" x14ac:dyDescent="0.2">
      <c r="A33" s="94" t="s">
        <v>9</v>
      </c>
      <c r="B33" s="20" t="s">
        <v>95</v>
      </c>
    </row>
    <row r="34" spans="1:2" ht="25.5" x14ac:dyDescent="0.2">
      <c r="A34" s="95"/>
      <c r="B34" s="23" t="s">
        <v>88</v>
      </c>
    </row>
    <row r="35" spans="1:2" ht="25.5" x14ac:dyDescent="0.2">
      <c r="A35" s="94" t="s">
        <v>59</v>
      </c>
      <c r="B35" s="20" t="s">
        <v>122</v>
      </c>
    </row>
    <row r="36" spans="1:2" ht="25.5" x14ac:dyDescent="0.2">
      <c r="A36" s="95"/>
      <c r="B36" s="23" t="s">
        <v>89</v>
      </c>
    </row>
    <row r="38" spans="1:2" x14ac:dyDescent="0.2">
      <c r="A38" s="22" t="s">
        <v>14</v>
      </c>
      <c r="B38" s="23"/>
    </row>
    <row r="39" spans="1:2" ht="38.25" x14ac:dyDescent="0.2">
      <c r="A39" s="94" t="s">
        <v>83</v>
      </c>
      <c r="B39" s="20" t="s">
        <v>123</v>
      </c>
    </row>
    <row r="40" spans="1:2" x14ac:dyDescent="0.2">
      <c r="A40" s="95"/>
      <c r="B40" s="23" t="s">
        <v>84</v>
      </c>
    </row>
    <row r="41" spans="1:2" ht="25.5" x14ac:dyDescent="0.2">
      <c r="A41" s="94" t="s">
        <v>8</v>
      </c>
      <c r="B41" s="20" t="s">
        <v>124</v>
      </c>
    </row>
    <row r="42" spans="1:2" ht="27" customHeight="1" x14ac:dyDescent="0.2">
      <c r="A42" s="95"/>
      <c r="B42" s="23" t="s">
        <v>126</v>
      </c>
    </row>
    <row r="43" spans="1:2" ht="25.5" x14ac:dyDescent="0.2">
      <c r="A43" s="94" t="s">
        <v>7</v>
      </c>
      <c r="B43" s="20" t="s">
        <v>125</v>
      </c>
    </row>
    <row r="44" spans="1:2" ht="27" customHeight="1" x14ac:dyDescent="0.2">
      <c r="A44" s="95"/>
      <c r="B44" s="23" t="s">
        <v>127</v>
      </c>
    </row>
    <row r="46" spans="1:2" x14ac:dyDescent="0.2">
      <c r="A46" s="22" t="s">
        <v>17</v>
      </c>
      <c r="B46" s="23"/>
    </row>
    <row r="47" spans="1:2" ht="25.5" x14ac:dyDescent="0.2">
      <c r="A47" s="94" t="s">
        <v>12</v>
      </c>
      <c r="B47" s="20" t="s">
        <v>129</v>
      </c>
    </row>
    <row r="48" spans="1:2" ht="25.5" x14ac:dyDescent="0.2">
      <c r="A48" s="95"/>
      <c r="B48" s="23" t="s">
        <v>116</v>
      </c>
    </row>
    <row r="49" spans="1:2" x14ac:dyDescent="0.2">
      <c r="A49" s="94" t="s">
        <v>13</v>
      </c>
      <c r="B49" s="20" t="s">
        <v>90</v>
      </c>
    </row>
    <row r="50" spans="1:2" x14ac:dyDescent="0.2">
      <c r="A50" s="95"/>
      <c r="B50" s="23" t="s">
        <v>112</v>
      </c>
    </row>
    <row r="51" spans="1:2" x14ac:dyDescent="0.2">
      <c r="A51" s="94" t="s">
        <v>18</v>
      </c>
      <c r="B51" s="20" t="s">
        <v>91</v>
      </c>
    </row>
    <row r="52" spans="1:2" ht="25.5" x14ac:dyDescent="0.2">
      <c r="A52" s="95"/>
      <c r="B52" s="23" t="s">
        <v>93</v>
      </c>
    </row>
    <row r="53" spans="1:2" x14ac:dyDescent="0.2">
      <c r="A53" s="94" t="s">
        <v>19</v>
      </c>
      <c r="B53" s="20" t="s">
        <v>128</v>
      </c>
    </row>
    <row r="54" spans="1:2" ht="25.5" x14ac:dyDescent="0.2">
      <c r="A54" s="95"/>
      <c r="B54" s="23" t="s">
        <v>92</v>
      </c>
    </row>
    <row r="55" spans="1:2" x14ac:dyDescent="0.2">
      <c r="A55" s="94" t="s">
        <v>3</v>
      </c>
      <c r="B55" s="20" t="s">
        <v>113</v>
      </c>
    </row>
    <row r="56" spans="1:2" ht="38.25" x14ac:dyDescent="0.2">
      <c r="A56" s="95"/>
      <c r="B56" s="23" t="s">
        <v>114</v>
      </c>
    </row>
    <row r="57" spans="1:2" x14ac:dyDescent="0.2">
      <c r="A57" s="94" t="s">
        <v>21</v>
      </c>
      <c r="B57" s="20" t="s">
        <v>130</v>
      </c>
    </row>
    <row r="58" spans="1:2" ht="38.25" x14ac:dyDescent="0.2">
      <c r="A58" s="95"/>
      <c r="B58" s="23" t="s">
        <v>131</v>
      </c>
    </row>
    <row r="71" spans="1:1" x14ac:dyDescent="0.2">
      <c r="A71" s="19"/>
    </row>
  </sheetData>
  <mergeCells count="23">
    <mergeCell ref="A49:A50"/>
    <mergeCell ref="A51:A52"/>
    <mergeCell ref="A53:A54"/>
    <mergeCell ref="A55:A56"/>
    <mergeCell ref="A57:A58"/>
    <mergeCell ref="A47:A48"/>
    <mergeCell ref="A21:A22"/>
    <mergeCell ref="A23:A24"/>
    <mergeCell ref="A25:A26"/>
    <mergeCell ref="A27:A28"/>
    <mergeCell ref="A29:A30"/>
    <mergeCell ref="A31:A32"/>
    <mergeCell ref="A33:A34"/>
    <mergeCell ref="A35:A36"/>
    <mergeCell ref="A39:A40"/>
    <mergeCell ref="A41:A42"/>
    <mergeCell ref="A43:A44"/>
    <mergeCell ref="A17:A18"/>
    <mergeCell ref="A4:B4"/>
    <mergeCell ref="A9:A10"/>
    <mergeCell ref="A11:A12"/>
    <mergeCell ref="A13:A14"/>
    <mergeCell ref="A15:A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BFFC6-5586-4022-9CE0-60613FBF2076}">
  <sheetPr codeName="Sheet2"/>
  <dimension ref="A1:AK157"/>
  <sheetViews>
    <sheetView zoomScale="90" zoomScaleNormal="90" workbookViewId="0">
      <pane ySplit="3" topLeftCell="A4" activePane="bottomLeft" state="frozen"/>
      <selection pane="bottomLeft"/>
    </sheetView>
  </sheetViews>
  <sheetFormatPr defaultRowHeight="15" x14ac:dyDescent="0.25"/>
  <cols>
    <col min="1" max="1" width="61.28515625" customWidth="1"/>
    <col min="2" max="2" width="14" customWidth="1"/>
    <col min="3" max="3" width="13.42578125" customWidth="1"/>
    <col min="4" max="4" width="16" customWidth="1"/>
    <col min="5" max="5" width="14" customWidth="1"/>
    <col min="6" max="10" width="12.7109375" customWidth="1"/>
    <col min="11" max="11" width="14.7109375" customWidth="1"/>
    <col min="12" max="13" width="12.7109375" customWidth="1"/>
    <col min="14" max="16" width="13.28515625" customWidth="1"/>
    <col min="17" max="17" width="13.85546875" customWidth="1"/>
    <col min="18" max="21" width="12.7109375" customWidth="1"/>
    <col min="22" max="22" width="14" customWidth="1"/>
    <col min="23" max="23" width="14.5703125" customWidth="1"/>
    <col min="24" max="25" width="12.7109375" customWidth="1"/>
    <col min="26" max="26" width="12" customWidth="1"/>
    <col min="27" max="27" width="13.85546875" customWidth="1"/>
    <col min="28" max="28" width="12.42578125" customWidth="1"/>
    <col min="29" max="29" width="10.5703125" bestFit="1" customWidth="1"/>
  </cols>
  <sheetData>
    <row r="1" spans="1:37" x14ac:dyDescent="0.25">
      <c r="A1" t="s">
        <v>31</v>
      </c>
      <c r="B1" s="54" t="s">
        <v>140</v>
      </c>
      <c r="C1" s="54"/>
      <c r="D1" s="54"/>
      <c r="E1" s="54"/>
      <c r="F1" s="54"/>
      <c r="G1" s="54"/>
      <c r="H1" s="54"/>
      <c r="I1" s="54"/>
      <c r="J1" s="54"/>
      <c r="K1" s="54"/>
      <c r="L1" s="54"/>
      <c r="M1" s="54"/>
      <c r="N1" s="54"/>
      <c r="O1" s="47"/>
      <c r="P1" s="54" t="s">
        <v>139</v>
      </c>
      <c r="Q1" s="54"/>
      <c r="R1" s="54"/>
      <c r="S1" s="54"/>
      <c r="T1" s="54"/>
      <c r="U1" s="54"/>
      <c r="V1" s="54"/>
      <c r="W1" s="54"/>
      <c r="X1" s="54"/>
      <c r="Y1" s="54"/>
      <c r="Z1" s="54"/>
      <c r="AA1" s="54"/>
      <c r="AB1" s="54"/>
    </row>
    <row r="2" spans="1:37" x14ac:dyDescent="0.25">
      <c r="B2" s="2">
        <v>43738</v>
      </c>
      <c r="C2" s="97">
        <v>43646</v>
      </c>
      <c r="D2" s="98"/>
      <c r="E2" s="2">
        <v>43555</v>
      </c>
      <c r="F2" s="2">
        <v>43465</v>
      </c>
      <c r="G2" s="2">
        <v>43373</v>
      </c>
      <c r="H2" s="2">
        <v>43281</v>
      </c>
      <c r="I2" s="2">
        <v>43190</v>
      </c>
      <c r="J2" s="2">
        <v>43100</v>
      </c>
      <c r="K2" s="2">
        <v>43008</v>
      </c>
      <c r="L2" s="2">
        <v>42916</v>
      </c>
      <c r="M2" s="2">
        <v>42825</v>
      </c>
      <c r="N2" s="2">
        <v>42735</v>
      </c>
      <c r="O2" s="2"/>
      <c r="P2" s="2" t="s">
        <v>146</v>
      </c>
      <c r="Q2" s="97" t="s">
        <v>141</v>
      </c>
      <c r="R2" s="98" t="s">
        <v>141</v>
      </c>
      <c r="S2" t="s">
        <v>133</v>
      </c>
      <c r="T2" t="s">
        <v>99</v>
      </c>
      <c r="U2" t="s">
        <v>27</v>
      </c>
      <c r="V2" t="s">
        <v>28</v>
      </c>
      <c r="W2" t="s">
        <v>29</v>
      </c>
      <c r="X2" t="s">
        <v>30</v>
      </c>
      <c r="Y2" t="s">
        <v>135</v>
      </c>
      <c r="Z2" t="s">
        <v>136</v>
      </c>
      <c r="AA2" t="s">
        <v>137</v>
      </c>
      <c r="AB2" t="s">
        <v>138</v>
      </c>
    </row>
    <row r="3" spans="1:37" x14ac:dyDescent="0.25">
      <c r="C3" t="s">
        <v>143</v>
      </c>
      <c r="D3" t="s">
        <v>142</v>
      </c>
      <c r="Q3" t="s">
        <v>143</v>
      </c>
      <c r="R3" t="s">
        <v>142</v>
      </c>
    </row>
    <row r="4" spans="1:37" x14ac:dyDescent="0.25">
      <c r="A4" s="1" t="s">
        <v>32</v>
      </c>
      <c r="B4" s="1"/>
      <c r="C4" s="1"/>
      <c r="D4" s="1"/>
      <c r="E4" s="1"/>
    </row>
    <row r="5" spans="1:37" x14ac:dyDescent="0.25">
      <c r="A5" t="s">
        <v>33</v>
      </c>
      <c r="B5" s="44">
        <v>282894.33005249995</v>
      </c>
      <c r="C5" s="3">
        <v>186353.61213749999</v>
      </c>
      <c r="D5" s="3">
        <v>186353.61213749999</v>
      </c>
      <c r="E5" s="3">
        <v>99664</v>
      </c>
      <c r="F5" s="3">
        <v>330779.48553999979</v>
      </c>
      <c r="G5" s="3">
        <v>249189.91756000009</v>
      </c>
      <c r="H5" s="3">
        <v>172407.07492999997</v>
      </c>
      <c r="I5" s="3">
        <v>79222.35824000003</v>
      </c>
      <c r="J5" s="3">
        <v>312587.46618000022</v>
      </c>
      <c r="K5" s="3">
        <v>239320</v>
      </c>
      <c r="L5" s="3">
        <v>153336</v>
      </c>
      <c r="M5" s="44">
        <v>78344</v>
      </c>
      <c r="N5" s="44">
        <v>247308</v>
      </c>
      <c r="O5" s="44"/>
      <c r="P5" s="44">
        <v>96541</v>
      </c>
      <c r="Q5" s="3">
        <v>86689.54277749997</v>
      </c>
      <c r="R5" s="3">
        <v>86689.54277749997</v>
      </c>
      <c r="S5" s="3">
        <v>99664</v>
      </c>
      <c r="T5" s="3">
        <v>81589.567979999701</v>
      </c>
      <c r="U5" s="3">
        <v>76782.842630000116</v>
      </c>
      <c r="V5" s="3">
        <v>93184.716689999943</v>
      </c>
      <c r="W5" s="3">
        <v>79222.35824000003</v>
      </c>
      <c r="X5" s="3">
        <v>73267.899280000303</v>
      </c>
      <c r="Y5" s="44">
        <v>85984</v>
      </c>
      <c r="Z5" s="44">
        <v>74992.006582500049</v>
      </c>
      <c r="AA5" s="44">
        <v>78343.94364750004</v>
      </c>
      <c r="AB5" s="44">
        <v>67054.213495000484</v>
      </c>
    </row>
    <row r="6" spans="1:37" x14ac:dyDescent="0.25">
      <c r="A6" t="s">
        <v>34</v>
      </c>
      <c r="B6" s="44">
        <v>8609</v>
      </c>
      <c r="C6" s="34">
        <v>4514</v>
      </c>
      <c r="D6" s="34">
        <f>4514</f>
        <v>4514</v>
      </c>
      <c r="E6" s="3">
        <v>2633</v>
      </c>
      <c r="F6" s="3">
        <v>7105.6555600000002</v>
      </c>
      <c r="G6" s="3">
        <v>4487.0055499999999</v>
      </c>
      <c r="H6" s="3">
        <v>1900.35554</v>
      </c>
      <c r="I6" s="3">
        <v>602.44165999999996</v>
      </c>
      <c r="J6" s="3">
        <v>4461.7274500000003</v>
      </c>
      <c r="K6" s="3">
        <v>3854</v>
      </c>
      <c r="L6" s="3">
        <v>3236</v>
      </c>
      <c r="M6" s="44">
        <v>2609</v>
      </c>
      <c r="N6" s="44">
        <v>10899.12</v>
      </c>
      <c r="O6" s="44"/>
      <c r="P6" s="44">
        <f>8609-R6-S6</f>
        <v>4095</v>
      </c>
      <c r="Q6" s="3">
        <v>1881</v>
      </c>
      <c r="R6" s="3">
        <f>4514-S6</f>
        <v>1881</v>
      </c>
      <c r="S6" s="3">
        <v>2633</v>
      </c>
      <c r="T6" s="3">
        <v>2618.6500099999998</v>
      </c>
      <c r="U6" s="3">
        <v>2586.6500099999998</v>
      </c>
      <c r="V6" s="3">
        <v>1297.9138800000001</v>
      </c>
      <c r="W6" s="3">
        <v>602.44165999999996</v>
      </c>
      <c r="X6" s="3">
        <v>607.99722000000008</v>
      </c>
      <c r="Y6" s="44">
        <v>618</v>
      </c>
      <c r="Z6" s="44">
        <v>627</v>
      </c>
      <c r="AA6" s="46">
        <v>2609</v>
      </c>
      <c r="AB6" s="46">
        <v>2741.94</v>
      </c>
      <c r="AC6" s="27"/>
      <c r="AD6" s="27"/>
      <c r="AE6" s="27"/>
      <c r="AF6" s="27"/>
      <c r="AG6" s="27"/>
      <c r="AH6" s="27"/>
      <c r="AI6" s="27"/>
      <c r="AJ6" s="27"/>
      <c r="AK6" s="27"/>
    </row>
    <row r="7" spans="1:37" x14ac:dyDescent="0.25">
      <c r="A7" s="5" t="s">
        <v>97</v>
      </c>
      <c r="B7" s="44">
        <f>-B6*0.25</f>
        <v>-2152.25</v>
      </c>
      <c r="C7" s="3">
        <v>-1128.5</v>
      </c>
      <c r="D7" s="3">
        <f t="shared" ref="D7" si="0">-D6*0.25</f>
        <v>-1128.5</v>
      </c>
      <c r="E7" s="3">
        <f t="shared" ref="E7:M7" si="1">-E6*0.25</f>
        <v>-658.25</v>
      </c>
      <c r="F7" s="6">
        <f t="shared" si="1"/>
        <v>-1776.41389</v>
      </c>
      <c r="G7" s="6">
        <f t="shared" si="1"/>
        <v>-1121.7513875</v>
      </c>
      <c r="H7" s="6">
        <f t="shared" si="1"/>
        <v>-475.088885</v>
      </c>
      <c r="I7" s="6">
        <f t="shared" si="1"/>
        <v>-150.61041499999999</v>
      </c>
      <c r="J7" s="6">
        <f t="shared" si="1"/>
        <v>-1115.4318625000001</v>
      </c>
      <c r="K7" s="38">
        <f t="shared" si="1"/>
        <v>-963.5</v>
      </c>
      <c r="L7" s="38">
        <f t="shared" si="1"/>
        <v>-809</v>
      </c>
      <c r="M7" s="41">
        <f t="shared" si="1"/>
        <v>-652.25</v>
      </c>
      <c r="N7" s="41">
        <f t="shared" ref="N7" si="2">-N6*0.25</f>
        <v>-2724.78</v>
      </c>
      <c r="O7" s="41"/>
      <c r="P7" s="41">
        <f>-P6*0.25</f>
        <v>-1023.75</v>
      </c>
      <c r="Q7" s="3">
        <v>-470.25</v>
      </c>
      <c r="R7" s="3">
        <f t="shared" ref="R7" si="3">-R6*0.25</f>
        <v>-470.25</v>
      </c>
      <c r="S7" s="3">
        <v>-658.25</v>
      </c>
      <c r="T7" s="6">
        <f t="shared" ref="T7:Y7" si="4">-T6*0.25</f>
        <v>-654.66250249999996</v>
      </c>
      <c r="U7" s="6">
        <f t="shared" si="4"/>
        <v>-646.66250249999996</v>
      </c>
      <c r="V7" s="6">
        <f t="shared" si="4"/>
        <v>-324.47847000000002</v>
      </c>
      <c r="W7" s="6">
        <f t="shared" si="4"/>
        <v>-150.61041499999999</v>
      </c>
      <c r="X7" s="6">
        <f t="shared" si="4"/>
        <v>-151.99930500000002</v>
      </c>
      <c r="Y7" s="41">
        <f t="shared" si="4"/>
        <v>-154.5</v>
      </c>
      <c r="Z7" s="47">
        <f t="shared" ref="Z7" si="5">-Z6*0.25</f>
        <v>-156.75</v>
      </c>
      <c r="AA7" s="47">
        <f t="shared" ref="AA7" si="6">-AA6*0.25</f>
        <v>-652.25</v>
      </c>
      <c r="AB7" s="47">
        <f t="shared" ref="AB7" si="7">-AB6*0.25</f>
        <v>-685.48500000000001</v>
      </c>
    </row>
    <row r="8" spans="1:37" x14ac:dyDescent="0.25">
      <c r="A8" s="7" t="s">
        <v>35</v>
      </c>
      <c r="B8" s="45">
        <f>B5-B6-B7</f>
        <v>276437.58005249995</v>
      </c>
      <c r="C8" s="8">
        <f>C5-C6-C7</f>
        <v>182968.11213749999</v>
      </c>
      <c r="D8" s="8">
        <f>D5-D6-D7</f>
        <v>182968.11213749999</v>
      </c>
      <c r="E8" s="8">
        <f>E5-E6-E7</f>
        <v>97689.25</v>
      </c>
      <c r="F8" s="8">
        <f t="shared" ref="F8:M8" si="8">F5-F6-F7</f>
        <v>325450.24386999983</v>
      </c>
      <c r="G8" s="8">
        <f t="shared" si="8"/>
        <v>245824.66339750009</v>
      </c>
      <c r="H8" s="8">
        <f t="shared" si="8"/>
        <v>170981.80827499999</v>
      </c>
      <c r="I8" s="8">
        <f t="shared" si="8"/>
        <v>78770.526995000037</v>
      </c>
      <c r="J8" s="8">
        <f t="shared" si="8"/>
        <v>309241.17059250019</v>
      </c>
      <c r="K8" s="8">
        <f t="shared" si="8"/>
        <v>236429.5</v>
      </c>
      <c r="L8" s="8">
        <f t="shared" si="8"/>
        <v>150909</v>
      </c>
      <c r="M8" s="45">
        <f t="shared" si="8"/>
        <v>76387.25</v>
      </c>
      <c r="N8" s="45">
        <f t="shared" ref="N8" si="9">N5-N6-N7</f>
        <v>239133.66</v>
      </c>
      <c r="O8" s="41"/>
      <c r="P8" s="45">
        <f>P5-P6-P7</f>
        <v>93469.75</v>
      </c>
      <c r="Q8" s="8">
        <f>Q5-Q6-Q7</f>
        <v>85278.79277749997</v>
      </c>
      <c r="R8" s="8">
        <f>R5-R6-R7</f>
        <v>85278.79277749997</v>
      </c>
      <c r="S8" s="8">
        <f t="shared" ref="S8:AB8" si="10">S5-S6-S7</f>
        <v>97689.25</v>
      </c>
      <c r="T8" s="8">
        <f t="shared" si="10"/>
        <v>79625.5804724997</v>
      </c>
      <c r="U8" s="8">
        <f t="shared" si="10"/>
        <v>74842.855122500114</v>
      </c>
      <c r="V8" s="8">
        <f t="shared" si="10"/>
        <v>92211.281279999937</v>
      </c>
      <c r="W8" s="8">
        <f t="shared" si="10"/>
        <v>78770.526995000037</v>
      </c>
      <c r="X8" s="8">
        <f t="shared" si="10"/>
        <v>72811.901365000303</v>
      </c>
      <c r="Y8" s="45">
        <f t="shared" si="10"/>
        <v>85520.5</v>
      </c>
      <c r="Z8" s="45">
        <f t="shared" si="10"/>
        <v>74521.756582500049</v>
      </c>
      <c r="AA8" s="45">
        <f t="shared" si="10"/>
        <v>76387.19364750004</v>
      </c>
      <c r="AB8" s="45">
        <f t="shared" si="10"/>
        <v>64997.758495000482</v>
      </c>
    </row>
    <row r="9" spans="1:37" x14ac:dyDescent="0.25">
      <c r="A9" t="s">
        <v>36</v>
      </c>
      <c r="B9" s="91">
        <v>3145283.6383599997</v>
      </c>
      <c r="C9" s="27">
        <f>D9-386549.97</f>
        <v>2688974.8502000002</v>
      </c>
      <c r="D9" s="3">
        <v>3075524.8202</v>
      </c>
      <c r="E9" s="3">
        <v>2605544.12629</v>
      </c>
      <c r="F9" s="3">
        <v>2507807.1124900002</v>
      </c>
      <c r="G9" s="3">
        <v>2428112.0311200004</v>
      </c>
      <c r="H9" s="3">
        <v>2353115.6329399999</v>
      </c>
      <c r="I9" s="3">
        <v>2110841.7356900005</v>
      </c>
      <c r="J9" s="3">
        <v>2125910.3699699999</v>
      </c>
      <c r="K9" s="3">
        <v>2052994</v>
      </c>
      <c r="L9" s="3">
        <v>1967483.2283899989</v>
      </c>
      <c r="M9" s="44">
        <v>1892958.2754700005</v>
      </c>
      <c r="N9" s="44">
        <v>1985163</v>
      </c>
      <c r="O9" s="44"/>
      <c r="P9" s="91">
        <v>3145283.6383599997</v>
      </c>
      <c r="Q9" s="3">
        <f>R9-386549.97</f>
        <v>2688974.8502000002</v>
      </c>
      <c r="R9" s="3">
        <v>3075524.8202</v>
      </c>
      <c r="S9" s="3">
        <v>2605544.12629</v>
      </c>
      <c r="T9" s="3">
        <v>2507807.1124900002</v>
      </c>
      <c r="U9" s="3">
        <v>2428112.0311200004</v>
      </c>
      <c r="V9" s="3">
        <v>2353115.6329399999</v>
      </c>
      <c r="W9" s="3">
        <v>2110841.7356900005</v>
      </c>
      <c r="X9" s="3">
        <v>2125910.3699699999</v>
      </c>
      <c r="Y9" s="44">
        <v>2052994</v>
      </c>
      <c r="Z9" s="44">
        <v>1967483.2283899989</v>
      </c>
      <c r="AA9" s="44">
        <v>1892958.2754700005</v>
      </c>
      <c r="AB9" s="44">
        <v>1985162.72951</v>
      </c>
      <c r="AC9" s="3"/>
    </row>
    <row r="10" spans="1:37" x14ac:dyDescent="0.25">
      <c r="A10" t="s">
        <v>37</v>
      </c>
      <c r="B10" s="44">
        <v>200000</v>
      </c>
      <c r="C10" s="3">
        <v>239000</v>
      </c>
      <c r="D10" s="3">
        <v>239000</v>
      </c>
      <c r="E10" s="3">
        <v>200000</v>
      </c>
      <c r="F10" s="3">
        <v>200000</v>
      </c>
      <c r="G10" s="3">
        <v>200000</v>
      </c>
      <c r="H10" s="3">
        <v>200000</v>
      </c>
      <c r="I10" s="3">
        <v>50000</v>
      </c>
      <c r="J10" s="3">
        <v>50000</v>
      </c>
      <c r="K10" s="3">
        <v>50000</v>
      </c>
      <c r="L10" s="3">
        <v>50000</v>
      </c>
      <c r="M10" s="44">
        <v>50000</v>
      </c>
      <c r="N10" s="44">
        <v>160000</v>
      </c>
      <c r="O10" s="44"/>
      <c r="P10" s="44">
        <v>200000</v>
      </c>
      <c r="Q10" s="3">
        <v>239000</v>
      </c>
      <c r="R10" s="3">
        <v>239000</v>
      </c>
      <c r="S10" s="3">
        <v>200000</v>
      </c>
      <c r="T10" s="3">
        <v>200000</v>
      </c>
      <c r="U10" s="3">
        <v>200000</v>
      </c>
      <c r="V10" s="3">
        <v>200000</v>
      </c>
      <c r="W10" s="3">
        <v>50000</v>
      </c>
      <c r="X10" s="3">
        <v>50000</v>
      </c>
      <c r="Y10" s="44">
        <v>50000</v>
      </c>
      <c r="Z10" s="44">
        <v>50000</v>
      </c>
      <c r="AA10" s="44">
        <v>50000</v>
      </c>
      <c r="AB10" s="44">
        <v>160000</v>
      </c>
      <c r="AC10" s="3"/>
    </row>
    <row r="11" spans="1:37" x14ac:dyDescent="0.25">
      <c r="A11" t="s">
        <v>38</v>
      </c>
      <c r="B11" s="44">
        <f t="shared" ref="B11:F11" si="11">B9-B10</f>
        <v>2945283.6383599997</v>
      </c>
      <c r="C11" s="3">
        <f t="shared" si="11"/>
        <v>2449974.8502000002</v>
      </c>
      <c r="D11" s="3">
        <f t="shared" si="11"/>
        <v>2836524.8202</v>
      </c>
      <c r="E11" s="3">
        <f t="shared" si="11"/>
        <v>2405544.12629</v>
      </c>
      <c r="F11" s="3">
        <f t="shared" si="11"/>
        <v>2307807.1124900002</v>
      </c>
      <c r="G11" s="3">
        <f t="shared" ref="G11:M11" si="12">G9-G10</f>
        <v>2228112.0311200004</v>
      </c>
      <c r="H11" s="3">
        <f t="shared" si="12"/>
        <v>2153115.6329399999</v>
      </c>
      <c r="I11" s="3">
        <f t="shared" si="12"/>
        <v>2060841.7356900005</v>
      </c>
      <c r="J11" s="3">
        <f t="shared" si="12"/>
        <v>2075910.3699699999</v>
      </c>
      <c r="K11" s="3">
        <f t="shared" si="12"/>
        <v>2002994</v>
      </c>
      <c r="L11" s="3">
        <f t="shared" si="12"/>
        <v>1917483.2283899989</v>
      </c>
      <c r="M11" s="3">
        <f t="shared" si="12"/>
        <v>1842958.2754700005</v>
      </c>
      <c r="N11" s="3">
        <f t="shared" ref="N11" si="13">N9-N10</f>
        <v>1825163</v>
      </c>
      <c r="O11" s="3"/>
      <c r="P11" s="44">
        <f t="shared" ref="P11:T11" si="14">P9-P10</f>
        <v>2945283.6383599997</v>
      </c>
      <c r="Q11" s="3">
        <f t="shared" si="14"/>
        <v>2449974.8502000002</v>
      </c>
      <c r="R11" s="3">
        <f t="shared" si="14"/>
        <v>2836524.8202</v>
      </c>
      <c r="S11" s="3">
        <f t="shared" si="14"/>
        <v>2405544.12629</v>
      </c>
      <c r="T11" s="3">
        <f t="shared" si="14"/>
        <v>2307807.1124900002</v>
      </c>
      <c r="U11" s="3">
        <f t="shared" ref="U11" si="15">U9-U10</f>
        <v>2228112.0311200004</v>
      </c>
      <c r="V11" s="3">
        <f t="shared" ref="V11" si="16">V9-V10</f>
        <v>2153115.6329399999</v>
      </c>
      <c r="W11" s="3">
        <f t="shared" ref="W11" si="17">W9-W10</f>
        <v>2060841.7356900005</v>
      </c>
      <c r="X11" s="3">
        <f>X9-X10</f>
        <v>2075910.3699699999</v>
      </c>
      <c r="Y11" s="3">
        <f>Y9-Y10</f>
        <v>2002994</v>
      </c>
      <c r="Z11" s="3">
        <f t="shared" ref="Z11:AB11" si="18">Z9-Z10</f>
        <v>1917483.2283899989</v>
      </c>
      <c r="AA11" s="3">
        <f t="shared" si="18"/>
        <v>1842958.2754700005</v>
      </c>
      <c r="AB11" s="3">
        <f t="shared" si="18"/>
        <v>1825162.72951</v>
      </c>
      <c r="AC11" s="3"/>
    </row>
    <row r="12" spans="1:37" x14ac:dyDescent="0.25">
      <c r="A12" s="5" t="s">
        <v>40</v>
      </c>
      <c r="B12" s="44">
        <f>(P11+R11+S11+T11)/4</f>
        <v>2623789.9243350001</v>
      </c>
      <c r="C12" s="3">
        <f>(Q11+S11+T11)/3</f>
        <v>2387775.3629933335</v>
      </c>
      <c r="D12" s="3">
        <f>(R11+S11+T11)/3</f>
        <v>2516625.3529933332</v>
      </c>
      <c r="E12" s="3">
        <f>(S11+T11)/2</f>
        <v>2356675.6193900001</v>
      </c>
      <c r="F12" s="6">
        <f>(T11+U11+V11+W11+X11)/5</f>
        <v>2165157.3764419998</v>
      </c>
      <c r="G12" s="6">
        <f>(U11+V11+W11+X11)/4</f>
        <v>2129494.9424300003</v>
      </c>
      <c r="H12" s="6">
        <f>(V11+W11+X11)/3</f>
        <v>2096622.5795333337</v>
      </c>
      <c r="I12" s="6">
        <f>(W11+X11)/2</f>
        <v>2068376.0528300002</v>
      </c>
      <c r="J12" s="6">
        <v>1932901.6936799996</v>
      </c>
      <c r="K12" s="38">
        <f>(Y11+Z11+AA11+AB11)/4</f>
        <v>1897149.5583424999</v>
      </c>
      <c r="L12" s="38">
        <f>(Z11+AA11+AB11)/3</f>
        <v>1861868.0777899998</v>
      </c>
      <c r="M12" s="38">
        <f>(AA11+AB11)/2</f>
        <v>1834060.5024900003</v>
      </c>
      <c r="N12" s="38">
        <f>7511886/5</f>
        <v>1502377.2</v>
      </c>
      <c r="O12" s="38"/>
      <c r="P12" s="44">
        <f>(P11+R11)/2</f>
        <v>2890904.2292799996</v>
      </c>
      <c r="Q12" s="3">
        <f>(Q11+S11)/2</f>
        <v>2427759.4882450001</v>
      </c>
      <c r="R12" s="3">
        <f t="shared" ref="R12:W12" si="19">(R11+S11)/2</f>
        <v>2621034.473245</v>
      </c>
      <c r="S12" s="3">
        <f t="shared" si="19"/>
        <v>2356675.6193900001</v>
      </c>
      <c r="T12" s="6">
        <f t="shared" si="19"/>
        <v>2267959.5718050003</v>
      </c>
      <c r="U12" s="6">
        <f t="shared" si="19"/>
        <v>2190613.8320300002</v>
      </c>
      <c r="V12" s="6">
        <f t="shared" si="19"/>
        <v>2106978.6843150002</v>
      </c>
      <c r="W12" s="6">
        <f t="shared" si="19"/>
        <v>2068376.0528300002</v>
      </c>
      <c r="X12" s="6">
        <v>2039452.1175149996</v>
      </c>
      <c r="Y12" s="38">
        <f>(Y11+Z11)/2</f>
        <v>1960238.6141949994</v>
      </c>
      <c r="Z12" s="3">
        <f t="shared" ref="Z12:AA12" si="20">(Z11+AA11)/2</f>
        <v>1880220.7519299998</v>
      </c>
      <c r="AA12" s="3">
        <f t="shared" si="20"/>
        <v>1834060.5024900003</v>
      </c>
      <c r="AB12" s="3">
        <f>(1825163+1562896)/2</f>
        <v>1694029.5</v>
      </c>
    </row>
    <row r="13" spans="1:37" x14ac:dyDescent="0.25">
      <c r="A13" s="7" t="s">
        <v>1</v>
      </c>
      <c r="B13" s="50">
        <f>(4/3)*B8/B12</f>
        <v>0.14047749656002564</v>
      </c>
      <c r="C13" s="9">
        <f>(4/2)*C8/C12</f>
        <v>0.15325404137525714</v>
      </c>
      <c r="D13" s="9">
        <f>(4/2)*D8/D12</f>
        <v>0.14540750924238557</v>
      </c>
      <c r="E13" s="9">
        <f>(4/1)*E8/E12</f>
        <v>0.16580856388761012</v>
      </c>
      <c r="F13" s="9">
        <f>F8/F12</f>
        <v>0.15031251188068914</v>
      </c>
      <c r="G13" s="28">
        <f>(4/3)*G8/G12</f>
        <v>0.15391734975867763</v>
      </c>
      <c r="H13" s="28">
        <f>(4/2)*H8/H12</f>
        <v>0.16310213382616257</v>
      </c>
      <c r="I13" s="28">
        <f>(4/1)*I8/I12</f>
        <v>0.15233308640800472</v>
      </c>
      <c r="J13" s="28">
        <f>J8/J12</f>
        <v>0.15998804885091919</v>
      </c>
      <c r="K13" s="28">
        <f>(4/3)*K8/K12</f>
        <v>0.16616472430816229</v>
      </c>
      <c r="L13" s="28">
        <f>(4/2)*L8/L12</f>
        <v>0.16210493299732168</v>
      </c>
      <c r="M13" s="28">
        <f>(4/1)*M8/M12</f>
        <v>0.16659701224969045</v>
      </c>
      <c r="N13" s="28">
        <f>N8/N12</f>
        <v>0.15917018708750375</v>
      </c>
      <c r="O13" s="38"/>
      <c r="P13" s="50">
        <f t="shared" ref="P13" si="21">4*P8/P12</f>
        <v>0.12932943132921329</v>
      </c>
      <c r="Q13" s="50">
        <f t="shared" ref="Q13:AB13" si="22">4*Q8/Q12</f>
        <v>0.14050616330062751</v>
      </c>
      <c r="R13" s="50">
        <f t="shared" si="22"/>
        <v>0.13014524402179212</v>
      </c>
      <c r="S13" s="50">
        <f t="shared" si="22"/>
        <v>0.16580856388761012</v>
      </c>
      <c r="T13" s="50">
        <f t="shared" si="22"/>
        <v>0.14043562585928834</v>
      </c>
      <c r="U13" s="50">
        <f t="shared" si="22"/>
        <v>0.13666097424965981</v>
      </c>
      <c r="V13" s="50">
        <f t="shared" si="22"/>
        <v>0.17505878339719178</v>
      </c>
      <c r="W13" s="50">
        <f t="shared" si="22"/>
        <v>0.15233308640800472</v>
      </c>
      <c r="X13" s="50">
        <f t="shared" si="22"/>
        <v>0.14280678764592725</v>
      </c>
      <c r="Y13" s="51">
        <f t="shared" si="22"/>
        <v>0.1745103874206054</v>
      </c>
      <c r="Z13" s="50">
        <f t="shared" si="22"/>
        <v>0.15853831313372183</v>
      </c>
      <c r="AA13" s="50">
        <f t="shared" si="22"/>
        <v>0.16659688934752909</v>
      </c>
      <c r="AB13" s="51">
        <f t="shared" si="22"/>
        <v>0.15347491527154747</v>
      </c>
    </row>
    <row r="14" spans="1:37" x14ac:dyDescent="0.25">
      <c r="R14" s="27"/>
    </row>
    <row r="15" spans="1:37" x14ac:dyDescent="0.25">
      <c r="A15" s="1" t="s">
        <v>24</v>
      </c>
      <c r="B15" s="1"/>
      <c r="C15" s="1"/>
      <c r="D15" s="1"/>
      <c r="E15" s="1"/>
    </row>
    <row r="16" spans="1:37" x14ac:dyDescent="0.25">
      <c r="A16" t="s">
        <v>25</v>
      </c>
      <c r="B16" s="44">
        <v>101917.37264</v>
      </c>
      <c r="C16" s="54"/>
      <c r="D16" s="3">
        <v>69684.986730000004</v>
      </c>
      <c r="E16" s="3">
        <v>34961.902710000002</v>
      </c>
      <c r="F16" s="3">
        <v>119865.71131000001</v>
      </c>
      <c r="G16" s="3">
        <v>91663.468710000001</v>
      </c>
      <c r="H16" s="3">
        <v>60601.509189999997</v>
      </c>
      <c r="I16" s="3">
        <v>31013.504419999997</v>
      </c>
      <c r="J16" s="3">
        <v>112575.77326</v>
      </c>
      <c r="K16" s="3">
        <f>AA16+Z16+Y16</f>
        <v>79093.46557</v>
      </c>
      <c r="L16" s="3">
        <f>AA16+Z16</f>
        <v>54868.465570000008</v>
      </c>
      <c r="M16" s="3">
        <f>AA16</f>
        <v>28033.634470000001</v>
      </c>
      <c r="N16" s="3">
        <v>98807</v>
      </c>
      <c r="O16" s="3"/>
      <c r="P16" s="44">
        <v>32232.385909999997</v>
      </c>
      <c r="Q16" s="53"/>
      <c r="R16" s="3">
        <v>34723.084020000002</v>
      </c>
      <c r="S16" s="3">
        <v>34961.902710000002</v>
      </c>
      <c r="T16" s="3">
        <v>28202.242600000012</v>
      </c>
      <c r="U16" s="3">
        <v>31061.959520000004</v>
      </c>
      <c r="V16" s="3">
        <v>29588.00477</v>
      </c>
      <c r="W16" s="3">
        <v>31013.504419999997</v>
      </c>
      <c r="X16" s="3">
        <v>33482.098379999981</v>
      </c>
      <c r="Y16" s="3">
        <v>24225</v>
      </c>
      <c r="Z16" s="3">
        <v>26834.831100000007</v>
      </c>
      <c r="AA16" s="3">
        <v>28033.634470000001</v>
      </c>
      <c r="AB16" s="3">
        <v>26415.386249999992</v>
      </c>
    </row>
    <row r="17" spans="1:28" x14ac:dyDescent="0.25">
      <c r="A17" s="5" t="s">
        <v>26</v>
      </c>
      <c r="B17" s="44">
        <v>504128.80842999998</v>
      </c>
      <c r="C17" s="57"/>
      <c r="D17" s="3">
        <v>334063.93650000001</v>
      </c>
      <c r="E17" s="3">
        <v>168819.39313000004</v>
      </c>
      <c r="F17" s="6">
        <v>563157.65295999986</v>
      </c>
      <c r="G17" s="6">
        <v>419422.79622000008</v>
      </c>
      <c r="H17" s="6">
        <v>281949.80859999999</v>
      </c>
      <c r="I17" s="6">
        <v>133969.46621000004</v>
      </c>
      <c r="J17" s="6">
        <v>538965.62406000018</v>
      </c>
      <c r="K17" s="38">
        <f>AA17+Z17+Y17</f>
        <v>408640.46588000015</v>
      </c>
      <c r="L17" s="38">
        <f>AA17+Z17</f>
        <v>266722.46588000015</v>
      </c>
      <c r="M17" s="38">
        <f>AA17</f>
        <v>134254.72168000008</v>
      </c>
      <c r="N17" s="38">
        <v>457942</v>
      </c>
      <c r="O17" s="38"/>
      <c r="P17" s="41">
        <v>170064.87192999996</v>
      </c>
      <c r="Q17" s="53"/>
      <c r="R17" s="3">
        <v>165244.54336999997</v>
      </c>
      <c r="S17" s="3">
        <v>168819.39313000004</v>
      </c>
      <c r="T17" s="6">
        <v>143734.85673999978</v>
      </c>
      <c r="U17" s="6">
        <v>137472.98762000009</v>
      </c>
      <c r="V17" s="6">
        <v>147980.34238999995</v>
      </c>
      <c r="W17" s="6">
        <v>133969.46621000004</v>
      </c>
      <c r="X17" s="6">
        <v>130325.54987000022</v>
      </c>
      <c r="Y17" s="41">
        <v>141918</v>
      </c>
      <c r="Z17" s="41">
        <v>132467.74420000004</v>
      </c>
      <c r="AA17" s="41">
        <v>134254.72168000008</v>
      </c>
      <c r="AB17" s="41">
        <v>126365.72070000056</v>
      </c>
    </row>
    <row r="18" spans="1:28" x14ac:dyDescent="0.25">
      <c r="A18" s="7" t="s">
        <v>20</v>
      </c>
      <c r="B18" s="50">
        <f t="shared" ref="B18:D18" si="23">B16/B17</f>
        <v>0.20216534134877076</v>
      </c>
      <c r="C18" s="60"/>
      <c r="D18" s="9">
        <f t="shared" si="23"/>
        <v>0.2085977536518672</v>
      </c>
      <c r="E18" s="9">
        <f>E16/E17</f>
        <v>0.20709648377350492</v>
      </c>
      <c r="F18" s="9">
        <f>F16/F17</f>
        <v>0.21284574697684855</v>
      </c>
      <c r="G18" s="9">
        <f t="shared" ref="G18:T18" si="24">G16/G17</f>
        <v>0.2185467016483284</v>
      </c>
      <c r="H18" s="9">
        <f t="shared" si="24"/>
        <v>0.21493722407868307</v>
      </c>
      <c r="I18" s="9">
        <f t="shared" si="24"/>
        <v>0.23149681264972466</v>
      </c>
      <c r="J18" s="50">
        <f t="shared" si="24"/>
        <v>0.20887375415888776</v>
      </c>
      <c r="K18" s="50">
        <f t="shared" si="24"/>
        <v>0.19355270017048751</v>
      </c>
      <c r="L18" s="50">
        <f t="shared" si="24"/>
        <v>0.20571370090244148</v>
      </c>
      <c r="M18" s="50">
        <f t="shared" si="24"/>
        <v>0.20880930010654644</v>
      </c>
      <c r="N18" s="50">
        <f t="shared" si="24"/>
        <v>0.21576313157561439</v>
      </c>
      <c r="O18" s="81"/>
      <c r="P18" s="50">
        <f>P16/P17</f>
        <v>0.18952994550965882</v>
      </c>
      <c r="Q18" s="88"/>
      <c r="R18" s="50">
        <f>R16/R17</f>
        <v>0.21013150154224067</v>
      </c>
      <c r="S18" s="50">
        <f t="shared" si="24"/>
        <v>0.20709648377350492</v>
      </c>
      <c r="T18" s="50">
        <f t="shared" si="24"/>
        <v>0.19621018338658591</v>
      </c>
      <c r="U18" s="50">
        <f t="shared" ref="U18" si="25">U16/U17</f>
        <v>0.22594954876416021</v>
      </c>
      <c r="V18" s="50">
        <f t="shared" ref="V18" si="26">V16/V17</f>
        <v>0.19994550824880011</v>
      </c>
      <c r="W18" s="50">
        <f t="shared" ref="W18:X18" si="27">W16/W17</f>
        <v>0.23149681264972466</v>
      </c>
      <c r="X18" s="50">
        <f t="shared" si="27"/>
        <v>0.25691123815244504</v>
      </c>
      <c r="Y18" s="50">
        <f t="shared" ref="Y18:AB18" si="28">Y16/Y17</f>
        <v>0.17069716315055172</v>
      </c>
      <c r="Z18" s="50">
        <f t="shared" si="28"/>
        <v>0.2025763423545941</v>
      </c>
      <c r="AA18" s="50">
        <f t="shared" si="28"/>
        <v>0.20880930010654644</v>
      </c>
      <c r="AB18" s="50">
        <f t="shared" si="28"/>
        <v>0.20903917695141097</v>
      </c>
    </row>
    <row r="20" spans="1:28" x14ac:dyDescent="0.25">
      <c r="A20" s="1" t="s">
        <v>4</v>
      </c>
      <c r="B20" s="1"/>
      <c r="C20" s="1"/>
      <c r="D20" s="1"/>
      <c r="E20" s="1"/>
    </row>
    <row r="21" spans="1:28" x14ac:dyDescent="0.25">
      <c r="A21" t="s">
        <v>39</v>
      </c>
      <c r="B21" s="70"/>
      <c r="C21" s="70"/>
      <c r="D21" s="70"/>
      <c r="E21" s="70"/>
      <c r="F21" s="3">
        <v>702860.38492999994</v>
      </c>
      <c r="G21" s="53"/>
      <c r="H21" s="53"/>
      <c r="I21" s="53"/>
      <c r="J21" s="3">
        <v>631547.89896000002</v>
      </c>
      <c r="K21" s="53"/>
      <c r="L21" s="53"/>
      <c r="M21" s="53"/>
      <c r="N21" s="44">
        <v>562598.68559999997</v>
      </c>
      <c r="O21" s="44"/>
      <c r="P21" s="44">
        <v>223913.07626999999</v>
      </c>
      <c r="Q21" s="54"/>
      <c r="R21" s="3">
        <v>212044.26636999994</v>
      </c>
      <c r="S21" s="3">
        <v>207792.94305</v>
      </c>
      <c r="T21" s="3">
        <v>189990.12922</v>
      </c>
      <c r="U21" s="3">
        <v>178200.75132000001</v>
      </c>
      <c r="V21" s="3">
        <v>176087.52030999999</v>
      </c>
      <c r="W21" s="3">
        <v>158581.98408000002</v>
      </c>
      <c r="X21" s="3">
        <v>158671.23199999999</v>
      </c>
      <c r="Y21" s="3">
        <v>167998.82199999999</v>
      </c>
      <c r="Z21" s="3">
        <v>155417.73000000001</v>
      </c>
      <c r="AA21" s="3">
        <v>149463.11499999999</v>
      </c>
      <c r="AB21" s="3">
        <v>152631.05799999999</v>
      </c>
    </row>
    <row r="22" spans="1:28" x14ac:dyDescent="0.25">
      <c r="A22" t="s">
        <v>41</v>
      </c>
      <c r="B22" s="70"/>
      <c r="C22" s="70"/>
      <c r="D22" s="70"/>
      <c r="E22" s="70"/>
      <c r="F22" s="3">
        <v>10446761.581924399</v>
      </c>
      <c r="G22" s="53"/>
      <c r="H22" s="53"/>
      <c r="I22" s="53"/>
      <c r="J22" s="3">
        <v>9246787.3300482538</v>
      </c>
      <c r="K22" s="53"/>
      <c r="L22" s="53"/>
      <c r="M22" s="53"/>
      <c r="N22" s="44">
        <v>8425996.2657988705</v>
      </c>
      <c r="O22" s="44"/>
      <c r="P22" s="44">
        <v>12703418.119286668</v>
      </c>
      <c r="Q22" s="54"/>
      <c r="R22" s="3">
        <v>12292330.819883334</v>
      </c>
      <c r="S22" s="3">
        <v>11773240.525440002</v>
      </c>
      <c r="T22" s="3">
        <v>11484294.054526666</v>
      </c>
      <c r="U22" s="3">
        <v>10467667.818623334</v>
      </c>
      <c r="V22" s="3">
        <v>10347451.506719999</v>
      </c>
      <c r="W22" s="3">
        <v>9617053.1937035564</v>
      </c>
      <c r="X22" s="3">
        <v>9583794.9994633403</v>
      </c>
      <c r="Y22" s="3">
        <v>9625910.4550000001</v>
      </c>
      <c r="Z22" s="3">
        <v>9219358.9030000009</v>
      </c>
      <c r="AA22" s="3">
        <v>8664408.6889999993</v>
      </c>
      <c r="AB22" s="3">
        <v>8891566.7449999992</v>
      </c>
    </row>
    <row r="23" spans="1:28" x14ac:dyDescent="0.25">
      <c r="A23" s="5" t="s">
        <v>42</v>
      </c>
      <c r="B23" s="71"/>
      <c r="C23" s="71"/>
      <c r="D23" s="71"/>
      <c r="E23" s="71"/>
      <c r="F23" s="16">
        <v>1.0740860215053764E-2</v>
      </c>
      <c r="G23" s="73"/>
      <c r="H23" s="73"/>
      <c r="I23" s="73"/>
      <c r="J23" s="16">
        <v>8.753225806451612E-3</v>
      </c>
      <c r="K23" s="75"/>
      <c r="L23" s="75"/>
      <c r="M23" s="75"/>
      <c r="N23" s="66">
        <v>1.0699999999999999E-2</v>
      </c>
      <c r="O23" s="81"/>
      <c r="P23" s="81">
        <v>1.6219999999999998E-2</v>
      </c>
      <c r="Q23" s="79"/>
      <c r="R23" s="13">
        <v>1.4572413793103449E-2</v>
      </c>
      <c r="S23" s="13">
        <v>1.2898412698412702E-2</v>
      </c>
      <c r="T23" s="16">
        <v>1.2166666666666666E-2</v>
      </c>
      <c r="U23" s="16">
        <v>1.0533333333333334E-2</v>
      </c>
      <c r="V23" s="16">
        <v>1.03E-2</v>
      </c>
      <c r="W23" s="16">
        <v>1.01E-2</v>
      </c>
      <c r="X23" s="16">
        <v>7.9000000000000008E-3</v>
      </c>
      <c r="Y23" s="16">
        <v>8.0999999999999996E-3</v>
      </c>
      <c r="Z23" s="16">
        <v>8.9999999999999993E-3</v>
      </c>
      <c r="AA23" s="16">
        <v>1.01E-2</v>
      </c>
      <c r="AB23" s="16">
        <v>1.1299999999999999E-2</v>
      </c>
    </row>
    <row r="24" spans="1:28" x14ac:dyDescent="0.25">
      <c r="A24" s="7" t="s">
        <v>4</v>
      </c>
      <c r="B24" s="72"/>
      <c r="C24" s="72"/>
      <c r="D24" s="72"/>
      <c r="E24" s="72"/>
      <c r="F24" s="9">
        <f>F21/F22-F23</f>
        <v>5.6539356665374553E-2</v>
      </c>
      <c r="G24" s="74"/>
      <c r="H24" s="74"/>
      <c r="I24" s="74"/>
      <c r="J24" s="9">
        <f>J21/J22-J23</f>
        <v>5.9545944101753075E-2</v>
      </c>
      <c r="K24" s="62"/>
      <c r="L24" s="62"/>
      <c r="M24" s="62"/>
      <c r="N24" s="50">
        <f t="shared" ref="N24" si="29">N21/N22-N23</f>
        <v>5.6069396502534508E-2</v>
      </c>
      <c r="O24" s="81"/>
      <c r="P24" s="50">
        <f>(365/92)*P21/P22-P23</f>
        <v>5.3710060034366E-2</v>
      </c>
      <c r="Q24" s="79"/>
      <c r="R24" s="50">
        <f>(365/91)*R21/R22-R23</f>
        <v>5.4617655585566957E-2</v>
      </c>
      <c r="S24" s="50">
        <f>(365/90)*S21/S22-S23</f>
        <v>5.8680505847479469E-2</v>
      </c>
      <c r="T24" s="50">
        <f>(365/92)*T21/T22-T23</f>
        <v>5.3467771375455976E-2</v>
      </c>
      <c r="U24" s="50">
        <f>(365/92)*U21/U22-U23</f>
        <v>5.7007223308843162E-2</v>
      </c>
      <c r="V24" s="50">
        <f>(365/91)*V21/V22-V23</f>
        <v>5.7956914127795411E-2</v>
      </c>
      <c r="W24" s="50">
        <f>(365/90)*W21/W22-W23</f>
        <v>5.6774751921694677E-2</v>
      </c>
      <c r="X24" s="50">
        <f>(365/92)*X21/X22-X23</f>
        <v>5.7784926078052259E-2</v>
      </c>
      <c r="Y24" s="50">
        <f>(365/92)*Y21/Y22-Y23</f>
        <v>6.1141976502832346E-2</v>
      </c>
      <c r="Z24" s="50">
        <f>(365/91)*Z21/Z22-Z23</f>
        <v>5.8616285872112893E-2</v>
      </c>
      <c r="AA24" s="50">
        <f>(365/90)*AA21/AA22-AA23</f>
        <v>5.9859299952972109E-2</v>
      </c>
      <c r="AB24" s="50">
        <f>(365/92)*AB21/AB22-AB23</f>
        <v>5.6803535591534123E-2</v>
      </c>
    </row>
    <row r="25" spans="1:28" x14ac:dyDescent="0.25">
      <c r="B25" s="36"/>
      <c r="E25" s="36"/>
      <c r="N25" s="47"/>
      <c r="O25" s="47"/>
      <c r="P25" s="47"/>
    </row>
    <row r="26" spans="1:28" x14ac:dyDescent="0.25">
      <c r="A26" s="1" t="s">
        <v>5</v>
      </c>
      <c r="B26" s="37"/>
      <c r="C26" s="1"/>
      <c r="D26" s="1"/>
      <c r="E26" s="37"/>
      <c r="N26" s="47"/>
      <c r="O26" s="47"/>
      <c r="P26" s="47"/>
    </row>
    <row r="27" spans="1:28" x14ac:dyDescent="0.25">
      <c r="A27" t="s">
        <v>43</v>
      </c>
      <c r="B27" s="70"/>
      <c r="C27" s="70"/>
      <c r="D27" s="70"/>
      <c r="E27" s="70"/>
      <c r="F27" s="3">
        <v>88646.495729999995</v>
      </c>
      <c r="G27" s="55"/>
      <c r="H27" s="55"/>
      <c r="I27" s="55"/>
      <c r="J27" s="3">
        <v>92978.906570000006</v>
      </c>
      <c r="K27" s="53"/>
      <c r="L27" s="53"/>
      <c r="M27" s="53"/>
      <c r="N27" s="44">
        <v>108006.31333999999</v>
      </c>
      <c r="O27" s="44"/>
      <c r="P27" s="44">
        <v>30636.205510000007</v>
      </c>
      <c r="Q27" s="54"/>
      <c r="R27" s="3">
        <v>29844.201570000001</v>
      </c>
      <c r="S27" s="3">
        <v>28087.98056</v>
      </c>
      <c r="T27" s="3">
        <v>26497.497539999993</v>
      </c>
      <c r="U27" s="3">
        <v>23708.268060000002</v>
      </c>
      <c r="V27" s="3">
        <v>20073.303369999998</v>
      </c>
      <c r="W27" s="3">
        <v>18367.426760000002</v>
      </c>
      <c r="X27" s="3">
        <v>20041.921999999999</v>
      </c>
      <c r="Y27" s="3">
        <v>20536.028999999999</v>
      </c>
      <c r="Z27" s="3">
        <v>24966.787</v>
      </c>
      <c r="AA27" s="3">
        <v>27434.169000000002</v>
      </c>
      <c r="AB27" s="3">
        <v>27787.401999999998</v>
      </c>
    </row>
    <row r="28" spans="1:28" x14ac:dyDescent="0.25">
      <c r="A28" t="s">
        <v>44</v>
      </c>
      <c r="B28" s="70"/>
      <c r="C28" s="70"/>
      <c r="D28" s="70"/>
      <c r="E28" s="70"/>
      <c r="F28" s="3">
        <v>7311649.4076504018</v>
      </c>
      <c r="G28" s="54"/>
      <c r="H28" s="54"/>
      <c r="I28" s="54"/>
      <c r="J28" s="3">
        <v>7917644.6032343823</v>
      </c>
      <c r="K28" s="53"/>
      <c r="L28" s="53"/>
      <c r="M28" s="53"/>
      <c r="N28" s="44">
        <v>7144824.7798319999</v>
      </c>
      <c r="O28" s="44"/>
      <c r="P28" s="44">
        <v>8569993.6353799999</v>
      </c>
      <c r="Q28" s="54"/>
      <c r="R28" s="3">
        <v>8450592.0421466678</v>
      </c>
      <c r="S28" s="3">
        <v>7987899.1563443299</v>
      </c>
      <c r="T28" s="3">
        <v>8150950.3762100004</v>
      </c>
      <c r="U28" s="3">
        <v>7446887.7670999998</v>
      </c>
      <c r="V28" s="3">
        <v>6909183.6877633352</v>
      </c>
      <c r="W28" s="3">
        <v>6823446.9733586675</v>
      </c>
      <c r="X28" s="3">
        <v>7569081</v>
      </c>
      <c r="Y28" s="3">
        <v>7694475</v>
      </c>
      <c r="Z28" s="3">
        <v>8444312</v>
      </c>
      <c r="AA28" s="3">
        <v>8088881</v>
      </c>
      <c r="AB28" s="3">
        <v>7608825.5470000003</v>
      </c>
    </row>
    <row r="29" spans="1:28" x14ac:dyDescent="0.25">
      <c r="A29" s="5" t="s">
        <v>42</v>
      </c>
      <c r="B29" s="71"/>
      <c r="C29" s="71"/>
      <c r="D29" s="71"/>
      <c r="E29" s="71"/>
      <c r="F29" s="16">
        <v>1.0740860215053764E-2</v>
      </c>
      <c r="G29" s="73"/>
      <c r="H29" s="73"/>
      <c r="I29" s="73"/>
      <c r="J29" s="16">
        <v>8.753225806451612E-3</v>
      </c>
      <c r="K29" s="75"/>
      <c r="L29" s="75"/>
      <c r="M29" s="75"/>
      <c r="N29" s="66">
        <v>1.0699999999999999E-2</v>
      </c>
      <c r="O29" s="81"/>
      <c r="P29" s="81">
        <f>P23</f>
        <v>1.6219999999999998E-2</v>
      </c>
      <c r="Q29" s="79"/>
      <c r="R29" s="13">
        <v>1.4572413793103449E-2</v>
      </c>
      <c r="S29" s="13">
        <v>1.2898412698412702E-2</v>
      </c>
      <c r="T29" s="16">
        <v>1.2166666666666666E-2</v>
      </c>
      <c r="U29" s="16">
        <v>1.0533333333333334E-2</v>
      </c>
      <c r="V29" s="16">
        <v>1.03E-2</v>
      </c>
      <c r="W29" s="16">
        <v>1.01E-2</v>
      </c>
      <c r="X29" s="16">
        <v>7.9000000000000008E-3</v>
      </c>
      <c r="Y29" s="16">
        <v>8.0999999999999996E-3</v>
      </c>
      <c r="Z29" s="16">
        <v>8.9999999999999993E-3</v>
      </c>
      <c r="AA29" s="16">
        <v>1.01E-2</v>
      </c>
      <c r="AB29" s="16">
        <v>1.1299999999999999E-2</v>
      </c>
    </row>
    <row r="30" spans="1:28" x14ac:dyDescent="0.25">
      <c r="A30" s="7" t="s">
        <v>5</v>
      </c>
      <c r="B30" s="72"/>
      <c r="C30" s="72"/>
      <c r="D30" s="72"/>
      <c r="E30" s="72"/>
      <c r="F30" s="9">
        <f>F29-F27/F28</f>
        <v>-1.3831477601161692E-3</v>
      </c>
      <c r="G30" s="74"/>
      <c r="H30" s="74"/>
      <c r="I30" s="74"/>
      <c r="J30" s="9">
        <f>J29-J27/J28</f>
        <v>-2.990027550994848E-3</v>
      </c>
      <c r="K30" s="62"/>
      <c r="L30" s="62"/>
      <c r="M30" s="62"/>
      <c r="N30" s="50">
        <f t="shared" ref="N30" si="30">N29-N27/N28</f>
        <v>-4.4167196772794213E-3</v>
      </c>
      <c r="O30" s="81"/>
      <c r="P30" s="50">
        <f>P29-(365/92)*P27/P28</f>
        <v>2.0372805593691003E-3</v>
      </c>
      <c r="Q30" s="79"/>
      <c r="R30" s="50">
        <f>R29-(365/91)*R27/R28</f>
        <v>4.0716194542309361E-4</v>
      </c>
      <c r="S30" s="50">
        <f>S29-(365/92)*S27/S28</f>
        <v>-1.0521902885976611E-3</v>
      </c>
      <c r="T30" s="50">
        <f>T29-(365/92)*T27/T28</f>
        <v>-7.3071786827083769E-4</v>
      </c>
      <c r="U30" s="50">
        <f t="shared" ref="U30" si="31">U29-(365/92)*U27/U28</f>
        <v>-2.0974433728692052E-3</v>
      </c>
      <c r="V30" s="50">
        <f>V29-(365/91)*V27/V28</f>
        <v>-1.3531565623178376E-3</v>
      </c>
      <c r="W30" s="50">
        <f>W29-(365/90)*W27/W28</f>
        <v>-8.1678735522025016E-4</v>
      </c>
      <c r="X30" s="50">
        <f>X29-(365/92)*X27/X28</f>
        <v>-2.6051256638972928E-3</v>
      </c>
      <c r="Y30" s="50">
        <f t="shared" ref="Y30" si="32">Y29-(365/92)*Y27/Y28</f>
        <v>-2.4886968091305493E-3</v>
      </c>
      <c r="Z30" s="50">
        <f>Z29-(365/91)*Z27/Z28</f>
        <v>-2.8590488244280062E-3</v>
      </c>
      <c r="AA30" s="50">
        <f>AA29-(365/90)*AA27/AA28</f>
        <v>-3.6547822127683677E-3</v>
      </c>
      <c r="AB30" s="50">
        <f>AB29-(365/92)*AB27/AB28</f>
        <v>-3.1888979756782669E-3</v>
      </c>
    </row>
    <row r="31" spans="1:28" x14ac:dyDescent="0.25">
      <c r="B31" s="36"/>
      <c r="E31" s="36"/>
      <c r="N31" s="47"/>
      <c r="O31" s="47"/>
      <c r="P31" s="47"/>
    </row>
    <row r="32" spans="1:28" x14ac:dyDescent="0.25">
      <c r="A32" s="1" t="s">
        <v>6</v>
      </c>
      <c r="B32" s="37"/>
      <c r="C32" s="1"/>
      <c r="D32" s="1"/>
      <c r="E32" s="37"/>
      <c r="N32" s="47"/>
      <c r="O32" s="47"/>
      <c r="P32" s="47"/>
    </row>
    <row r="33" spans="1:29" x14ac:dyDescent="0.25">
      <c r="A33" t="s">
        <v>4</v>
      </c>
      <c r="B33" s="76"/>
      <c r="C33" s="76"/>
      <c r="D33" s="76"/>
      <c r="E33" s="76"/>
      <c r="F33" s="13">
        <f>F24</f>
        <v>5.6539356665374553E-2</v>
      </c>
      <c r="G33" s="79"/>
      <c r="H33" s="79"/>
      <c r="I33" s="79"/>
      <c r="J33" s="13">
        <f>J24</f>
        <v>5.9545944101753075E-2</v>
      </c>
      <c r="K33" s="79"/>
      <c r="L33" s="79"/>
      <c r="M33" s="79"/>
      <c r="N33" s="67">
        <f>N24</f>
        <v>5.6069396502534508E-2</v>
      </c>
      <c r="O33" s="67"/>
      <c r="P33" s="67">
        <f>P24</f>
        <v>5.3710060034366E-2</v>
      </c>
      <c r="Q33" s="79"/>
      <c r="R33" s="13">
        <f>R24</f>
        <v>5.4617655585566957E-2</v>
      </c>
      <c r="S33" s="13">
        <v>5.8670523660556279E-2</v>
      </c>
      <c r="T33" s="13">
        <f>T24</f>
        <v>5.3467771375455976E-2</v>
      </c>
      <c r="U33" s="13">
        <f t="shared" ref="U33:AB33" si="33">U24</f>
        <v>5.7007223308843162E-2</v>
      </c>
      <c r="V33" s="13">
        <f t="shared" si="33"/>
        <v>5.7956914127795411E-2</v>
      </c>
      <c r="W33" s="13">
        <f t="shared" si="33"/>
        <v>5.6774751921694677E-2</v>
      </c>
      <c r="X33" s="13">
        <f t="shared" si="33"/>
        <v>5.7784926078052259E-2</v>
      </c>
      <c r="Y33" s="13">
        <f t="shared" si="33"/>
        <v>6.1141976502832346E-2</v>
      </c>
      <c r="Z33" s="13">
        <f t="shared" si="33"/>
        <v>5.8616285872112893E-2</v>
      </c>
      <c r="AA33" s="13">
        <f t="shared" si="33"/>
        <v>5.9859299952972109E-2</v>
      </c>
      <c r="AB33" s="13">
        <f t="shared" si="33"/>
        <v>5.6803535591534123E-2</v>
      </c>
    </row>
    <row r="34" spans="1:29" x14ac:dyDescent="0.25">
      <c r="A34" s="5" t="s">
        <v>5</v>
      </c>
      <c r="B34" s="77"/>
      <c r="C34" s="77"/>
      <c r="D34" s="77"/>
      <c r="E34" s="77"/>
      <c r="F34" s="14">
        <f>F30</f>
        <v>-1.3831477601161692E-3</v>
      </c>
      <c r="G34" s="73"/>
      <c r="H34" s="73"/>
      <c r="I34" s="73"/>
      <c r="J34" s="14">
        <f>J30</f>
        <v>-2.990027550994848E-3</v>
      </c>
      <c r="K34" s="73"/>
      <c r="L34" s="73"/>
      <c r="M34" s="73"/>
      <c r="N34" s="68">
        <f>N30</f>
        <v>-4.4167196772794213E-3</v>
      </c>
      <c r="O34" s="82"/>
      <c r="P34" s="82">
        <f>P30</f>
        <v>2.0372805593691003E-3</v>
      </c>
      <c r="Q34" s="79"/>
      <c r="R34" s="13">
        <f>R30</f>
        <v>4.0716194542309361E-4</v>
      </c>
      <c r="S34" s="13">
        <v>-1.3622036883090029E-3</v>
      </c>
      <c r="T34" s="14">
        <f>T30</f>
        <v>-7.3071786827083769E-4</v>
      </c>
      <c r="U34" s="14">
        <f t="shared" ref="U34:AB34" si="34">U30</f>
        <v>-2.0974433728692052E-3</v>
      </c>
      <c r="V34" s="14">
        <f t="shared" si="34"/>
        <v>-1.3531565623178376E-3</v>
      </c>
      <c r="W34" s="14">
        <f t="shared" si="34"/>
        <v>-8.1678735522025016E-4</v>
      </c>
      <c r="X34" s="14">
        <f t="shared" si="34"/>
        <v>-2.6051256638972928E-3</v>
      </c>
      <c r="Y34" s="14">
        <f t="shared" si="34"/>
        <v>-2.4886968091305493E-3</v>
      </c>
      <c r="Z34" s="14">
        <f t="shared" si="34"/>
        <v>-2.8590488244280062E-3</v>
      </c>
      <c r="AA34" s="14">
        <f t="shared" si="34"/>
        <v>-3.6547822127683677E-3</v>
      </c>
      <c r="AB34" s="14">
        <f t="shared" si="34"/>
        <v>-3.1888979756782669E-3</v>
      </c>
    </row>
    <row r="35" spans="1:29" x14ac:dyDescent="0.25">
      <c r="A35" s="7" t="s">
        <v>6</v>
      </c>
      <c r="B35" s="78"/>
      <c r="C35" s="78"/>
      <c r="D35" s="78"/>
      <c r="E35" s="78"/>
      <c r="F35" s="15">
        <f>F33+F34</f>
        <v>5.515620890525838E-2</v>
      </c>
      <c r="G35" s="74"/>
      <c r="H35" s="74"/>
      <c r="I35" s="74"/>
      <c r="J35" s="15">
        <f>J33+J34</f>
        <v>5.6555916550758228E-2</v>
      </c>
      <c r="K35" s="74"/>
      <c r="L35" s="74"/>
      <c r="M35" s="74"/>
      <c r="N35" s="52">
        <f t="shared" ref="N35" si="35">N33+N34</f>
        <v>5.1652676825255088E-2</v>
      </c>
      <c r="O35" s="82"/>
      <c r="P35" s="52">
        <f t="shared" ref="P35:R35" si="36">P33+P34</f>
        <v>5.5747340593735102E-2</v>
      </c>
      <c r="Q35" s="79"/>
      <c r="R35" s="52">
        <f t="shared" si="36"/>
        <v>5.5024817530990047E-2</v>
      </c>
      <c r="S35" s="52">
        <f>S33+S34</f>
        <v>5.7308319972247279E-2</v>
      </c>
      <c r="T35" s="52">
        <f>T33+T34</f>
        <v>5.273705350718514E-2</v>
      </c>
      <c r="U35" s="52">
        <f t="shared" ref="U35:AB35" si="37">U33+U34</f>
        <v>5.4909779935973957E-2</v>
      </c>
      <c r="V35" s="52">
        <f t="shared" si="37"/>
        <v>5.6603757565477572E-2</v>
      </c>
      <c r="W35" s="52">
        <f t="shared" si="37"/>
        <v>5.5957964566474429E-2</v>
      </c>
      <c r="X35" s="50">
        <f t="shared" si="37"/>
        <v>5.5179800414154968E-2</v>
      </c>
      <c r="Y35" s="50">
        <f t="shared" si="37"/>
        <v>5.8653279693701793E-2</v>
      </c>
      <c r="Z35" s="50">
        <f t="shared" si="37"/>
        <v>5.5757237047684885E-2</v>
      </c>
      <c r="AA35" s="50">
        <f t="shared" si="37"/>
        <v>5.6204517740203741E-2</v>
      </c>
      <c r="AB35" s="50">
        <f t="shared" si="37"/>
        <v>5.3614637615855859E-2</v>
      </c>
    </row>
    <row r="37" spans="1:29" x14ac:dyDescent="0.25">
      <c r="A37" s="1" t="s">
        <v>10</v>
      </c>
      <c r="B37" s="1"/>
      <c r="C37" s="1"/>
      <c r="D37" s="1"/>
      <c r="E37" s="1"/>
      <c r="F37" s="4"/>
    </row>
    <row r="38" spans="1:29" x14ac:dyDescent="0.25">
      <c r="A38" t="s">
        <v>45</v>
      </c>
      <c r="B38" s="44">
        <v>8544521.2093199994</v>
      </c>
      <c r="C38" s="55"/>
      <c r="D38" s="3">
        <v>9320338.1891399994</v>
      </c>
      <c r="E38" s="3">
        <v>8599452.2410400007</v>
      </c>
      <c r="F38" s="3">
        <v>7622722.7657399997</v>
      </c>
      <c r="G38" s="3">
        <v>8221356.0236999998</v>
      </c>
      <c r="H38" s="3">
        <v>8062416.8315700004</v>
      </c>
      <c r="I38" s="3">
        <v>6334170.33311</v>
      </c>
      <c r="J38" s="3">
        <v>7083931.4525799993</v>
      </c>
      <c r="K38" s="3">
        <v>7679671</v>
      </c>
      <c r="L38" s="3">
        <v>8162773.5941299992</v>
      </c>
      <c r="M38" s="3">
        <v>8524793.1328699999</v>
      </c>
      <c r="N38" s="3">
        <v>7646799.9001600007</v>
      </c>
      <c r="O38" s="3"/>
      <c r="P38" s="44">
        <v>8544521.2093199994</v>
      </c>
      <c r="Q38" s="54"/>
      <c r="R38" s="3">
        <v>9320338.1891399994</v>
      </c>
      <c r="S38" s="3">
        <v>8599452.2410400007</v>
      </c>
      <c r="T38" s="3">
        <v>7622722.7657399997</v>
      </c>
      <c r="U38" s="3">
        <v>8221356.0236999998</v>
      </c>
      <c r="V38" s="3">
        <v>8062416.8315700004</v>
      </c>
      <c r="W38" s="3">
        <v>6334170.33311</v>
      </c>
      <c r="X38" s="3">
        <v>7083931.4525799993</v>
      </c>
      <c r="Y38" s="3">
        <v>7679671</v>
      </c>
      <c r="Z38" s="3">
        <v>8162773.5941299992</v>
      </c>
      <c r="AA38" s="3">
        <v>8524793.1328699999</v>
      </c>
      <c r="AB38" s="3">
        <v>7646799.9001600007</v>
      </c>
    </row>
    <row r="39" spans="1:29" x14ac:dyDescent="0.25">
      <c r="A39" s="5" t="s">
        <v>46</v>
      </c>
      <c r="B39" s="44">
        <v>13191477.600840002</v>
      </c>
      <c r="C39" s="57"/>
      <c r="D39" s="3">
        <v>12539267.794380002</v>
      </c>
      <c r="E39" s="3">
        <v>12064527.30549</v>
      </c>
      <c r="F39" s="6">
        <v>11652698.24437</v>
      </c>
      <c r="G39" s="6">
        <v>10689622.833270002</v>
      </c>
      <c r="H39" s="6">
        <v>10489261.202550001</v>
      </c>
      <c r="I39" s="6">
        <v>10065877.572609998</v>
      </c>
      <c r="J39" s="6">
        <v>9447670.1434599999</v>
      </c>
      <c r="K39" s="38">
        <v>9869509</v>
      </c>
      <c r="L39" s="38">
        <v>9543982.2555199992</v>
      </c>
      <c r="M39" s="38">
        <v>8973437.0590400007</v>
      </c>
      <c r="N39" s="38">
        <v>8753760.9397400003</v>
      </c>
      <c r="O39" s="38"/>
      <c r="P39" s="44">
        <v>13191477.600840002</v>
      </c>
      <c r="Q39" s="54"/>
      <c r="R39" s="3">
        <v>12539267.794380002</v>
      </c>
      <c r="S39" s="3">
        <v>12064527.30549</v>
      </c>
      <c r="T39" s="6">
        <v>11652698.24437</v>
      </c>
      <c r="U39" s="6">
        <v>10689622.833270002</v>
      </c>
      <c r="V39" s="6">
        <v>10489261.202550001</v>
      </c>
      <c r="W39" s="6">
        <v>10065877.572609998</v>
      </c>
      <c r="X39" s="41">
        <v>9447670.1434599999</v>
      </c>
      <c r="Y39" s="41">
        <v>9869509</v>
      </c>
      <c r="Z39" s="3">
        <v>9543982.2555199992</v>
      </c>
      <c r="AA39" s="3">
        <v>8973437.0590400007</v>
      </c>
      <c r="AB39" s="3">
        <v>8753760.9397400003</v>
      </c>
    </row>
    <row r="40" spans="1:29" x14ac:dyDescent="0.25">
      <c r="A40" s="7" t="s">
        <v>10</v>
      </c>
      <c r="B40" s="50">
        <f t="shared" ref="B40:D40" si="38">B38/B39</f>
        <v>0.64773041109328833</v>
      </c>
      <c r="C40" s="60"/>
      <c r="D40" s="50">
        <f t="shared" si="38"/>
        <v>0.74329205994924996</v>
      </c>
      <c r="E40" s="50">
        <f>E38/E39</f>
        <v>0.71278816179783466</v>
      </c>
      <c r="F40" s="50">
        <f>F38/F39</f>
        <v>0.65415945782539398</v>
      </c>
      <c r="G40" s="50">
        <f t="shared" ref="G40:M40" si="39">G38/G39</f>
        <v>0.76909692249497741</v>
      </c>
      <c r="H40" s="50">
        <f t="shared" si="39"/>
        <v>0.76863533816947749</v>
      </c>
      <c r="I40" s="50">
        <f t="shared" si="39"/>
        <v>0.62927154512049188</v>
      </c>
      <c r="J40" s="50">
        <f t="shared" si="39"/>
        <v>0.74980723765887813</v>
      </c>
      <c r="K40" s="50">
        <f t="shared" si="39"/>
        <v>0.7781208771378596</v>
      </c>
      <c r="L40" s="50">
        <f t="shared" si="39"/>
        <v>0.85527962810375679</v>
      </c>
      <c r="M40" s="51">
        <f t="shared" si="39"/>
        <v>0.95000311216112798</v>
      </c>
      <c r="N40" s="51">
        <f t="shared" ref="N40" si="40">N38/N39</f>
        <v>0.87354452021248841</v>
      </c>
      <c r="O40" s="83"/>
      <c r="P40" s="50">
        <f t="shared" ref="P40" si="41">P38/P39</f>
        <v>0.64773041109328833</v>
      </c>
      <c r="Q40" s="54"/>
      <c r="R40" s="50">
        <f t="shared" ref="R40" si="42">R38/R39</f>
        <v>0.74329205994924996</v>
      </c>
      <c r="S40" s="50">
        <f>S38/S39</f>
        <v>0.71278816179783466</v>
      </c>
      <c r="T40" s="50">
        <f>T38/T39</f>
        <v>0.65415945782539398</v>
      </c>
      <c r="U40" s="50">
        <f t="shared" ref="U40" si="43">U38/U39</f>
        <v>0.76909692249497741</v>
      </c>
      <c r="V40" s="50">
        <f t="shared" ref="V40" si="44">V38/V39</f>
        <v>0.76863533816947749</v>
      </c>
      <c r="W40" s="50">
        <f t="shared" ref="W40:X40" si="45">W38/W39</f>
        <v>0.62927154512049188</v>
      </c>
      <c r="X40" s="50">
        <f t="shared" si="45"/>
        <v>0.74980723765887813</v>
      </c>
      <c r="Y40" s="50">
        <f t="shared" ref="Y40:AB40" si="46">Y38/Y39</f>
        <v>0.7781208771378596</v>
      </c>
      <c r="Z40" s="50">
        <f t="shared" si="46"/>
        <v>0.85527962810375679</v>
      </c>
      <c r="AA40" s="50">
        <f t="shared" si="46"/>
        <v>0.95000311216112798</v>
      </c>
      <c r="AB40" s="51">
        <f t="shared" si="46"/>
        <v>0.87354452021248841</v>
      </c>
      <c r="AC40" s="11"/>
    </row>
    <row r="42" spans="1:29" x14ac:dyDescent="0.25">
      <c r="A42" s="1" t="s">
        <v>11</v>
      </c>
      <c r="B42" s="1"/>
      <c r="C42" s="1"/>
      <c r="D42" s="1"/>
      <c r="E42" s="1"/>
    </row>
    <row r="43" spans="1:29" x14ac:dyDescent="0.25">
      <c r="A43" t="s">
        <v>47</v>
      </c>
      <c r="B43" s="44">
        <v>68470.938330000004</v>
      </c>
      <c r="C43" s="54"/>
      <c r="D43" s="3">
        <v>468334.43654999998</v>
      </c>
      <c r="E43" s="3">
        <v>768197.38052000001</v>
      </c>
      <c r="F43" s="3">
        <v>68065.220709999994</v>
      </c>
      <c r="G43" s="3">
        <v>66075.752739999996</v>
      </c>
      <c r="H43" s="3">
        <v>66018.082500000004</v>
      </c>
      <c r="I43" s="3">
        <v>62033.717990000005</v>
      </c>
      <c r="J43" s="3">
        <v>61014.10269</v>
      </c>
      <c r="K43" s="3">
        <v>62031.797259999999</v>
      </c>
      <c r="L43" s="3">
        <v>62046.654849999999</v>
      </c>
      <c r="M43" s="3">
        <v>57115.359090000005</v>
      </c>
      <c r="N43" s="3">
        <v>57074.975290000002</v>
      </c>
      <c r="O43" s="3"/>
      <c r="P43" s="44">
        <v>68470.938330000004</v>
      </c>
      <c r="Q43" s="54"/>
      <c r="R43" s="3">
        <v>468334.43654999998</v>
      </c>
      <c r="S43" s="3">
        <v>768197.38052000001</v>
      </c>
      <c r="T43" s="3">
        <v>68065.220709999994</v>
      </c>
      <c r="U43" s="3">
        <v>66075.752739999996</v>
      </c>
      <c r="V43" s="3">
        <v>66018.082500000004</v>
      </c>
      <c r="W43" s="3">
        <v>62033.717990000005</v>
      </c>
      <c r="X43" s="3">
        <v>61014.10269</v>
      </c>
      <c r="Y43" s="3">
        <v>62032</v>
      </c>
      <c r="Z43" s="3">
        <v>62047</v>
      </c>
      <c r="AA43" s="3">
        <v>57115</v>
      </c>
      <c r="AB43" s="3">
        <v>57075</v>
      </c>
    </row>
    <row r="44" spans="1:29" x14ac:dyDescent="0.25">
      <c r="A44" t="s">
        <v>48</v>
      </c>
      <c r="B44" s="44">
        <v>935093.93582999997</v>
      </c>
      <c r="C44" s="54"/>
      <c r="D44" s="3">
        <v>1316489.24529</v>
      </c>
      <c r="E44" s="3">
        <v>183299.35696</v>
      </c>
      <c r="F44" s="3">
        <v>251525.62831999999</v>
      </c>
      <c r="G44" s="3">
        <v>1228497.92539</v>
      </c>
      <c r="H44" s="3">
        <v>1069635.3478899999</v>
      </c>
      <c r="I44" s="3">
        <v>343091.69200000004</v>
      </c>
      <c r="J44" s="3">
        <v>295532.92336000002</v>
      </c>
      <c r="K44" s="3">
        <v>103323.07369</v>
      </c>
      <c r="L44" s="3">
        <v>288197.77036000002</v>
      </c>
      <c r="M44" s="3">
        <v>827370.87134000007</v>
      </c>
      <c r="N44" s="3">
        <v>747273.97349</v>
      </c>
      <c r="O44" s="3"/>
      <c r="P44" s="44">
        <v>935093.93582999997</v>
      </c>
      <c r="Q44" s="54"/>
      <c r="R44" s="3">
        <v>1316489.24529</v>
      </c>
      <c r="S44" s="3">
        <v>183299.35696</v>
      </c>
      <c r="T44" s="3">
        <v>251525.62831999999</v>
      </c>
      <c r="U44" s="3">
        <v>1228497.92539</v>
      </c>
      <c r="V44" s="3">
        <v>1069635.3478899999</v>
      </c>
      <c r="W44" s="3">
        <v>343091.69200000004</v>
      </c>
      <c r="X44" s="3">
        <v>295532.92336000002</v>
      </c>
      <c r="Y44" s="3">
        <v>103323</v>
      </c>
      <c r="Z44" s="3">
        <v>288198</v>
      </c>
      <c r="AA44" s="3">
        <v>827371</v>
      </c>
      <c r="AB44" s="3">
        <v>747274</v>
      </c>
    </row>
    <row r="45" spans="1:29" x14ac:dyDescent="0.25">
      <c r="A45" t="s">
        <v>49</v>
      </c>
      <c r="B45" s="44">
        <v>3456528.2045600004</v>
      </c>
      <c r="C45" s="54"/>
      <c r="D45" s="3">
        <v>3988054.0169299999</v>
      </c>
      <c r="E45" s="3">
        <v>3786603.6889499994</v>
      </c>
      <c r="F45" s="3">
        <v>3484630.45682</v>
      </c>
      <c r="G45" s="3">
        <v>4176953.0091499994</v>
      </c>
      <c r="H45" s="3">
        <v>3988863.2777900007</v>
      </c>
      <c r="I45" s="3">
        <v>2802208.7684900002</v>
      </c>
      <c r="J45" s="3">
        <v>3173886.4190199999</v>
      </c>
      <c r="K45" s="3">
        <v>3289875.9547499996</v>
      </c>
      <c r="L45" s="3">
        <v>3268574.9508699998</v>
      </c>
      <c r="M45" s="3">
        <v>4093867.4756299998</v>
      </c>
      <c r="N45" s="3">
        <v>3315103.1408400005</v>
      </c>
      <c r="O45" s="3"/>
      <c r="P45" s="44">
        <v>3456528.2045600004</v>
      </c>
      <c r="Q45" s="54"/>
      <c r="R45" s="3">
        <v>3988054.0169299999</v>
      </c>
      <c r="S45" s="3">
        <v>3786603.6889499994</v>
      </c>
      <c r="T45" s="3">
        <v>3484630.45682</v>
      </c>
      <c r="U45" s="3">
        <v>4176953.0091499994</v>
      </c>
      <c r="V45" s="3">
        <v>3988863.2777900007</v>
      </c>
      <c r="W45" s="3">
        <v>2802208.7684900002</v>
      </c>
      <c r="X45" s="3">
        <v>3173886.4190199999</v>
      </c>
      <c r="Y45" s="3">
        <v>3289876</v>
      </c>
      <c r="Z45" s="3">
        <v>3268575</v>
      </c>
      <c r="AA45" s="3">
        <v>4093867.4756299998</v>
      </c>
      <c r="AB45" s="3">
        <v>3315103</v>
      </c>
    </row>
    <row r="46" spans="1:29" x14ac:dyDescent="0.25">
      <c r="A46" s="7" t="s">
        <v>11</v>
      </c>
      <c r="B46" s="45">
        <f t="shared" ref="B46:N46" si="47">B43+B44+B45</f>
        <v>4460093.0787200006</v>
      </c>
      <c r="C46" s="93"/>
      <c r="D46" s="8">
        <f t="shared" si="47"/>
        <v>5772877.6987699997</v>
      </c>
      <c r="E46" s="8">
        <f t="shared" si="47"/>
        <v>4738100.4264299991</v>
      </c>
      <c r="F46" s="8">
        <f t="shared" si="47"/>
        <v>3804221.3058500001</v>
      </c>
      <c r="G46" s="8">
        <f t="shared" si="47"/>
        <v>5471526.6872799993</v>
      </c>
      <c r="H46" s="8">
        <f t="shared" si="47"/>
        <v>5124516.708180001</v>
      </c>
      <c r="I46" s="8">
        <f t="shared" si="47"/>
        <v>3207334.1784800002</v>
      </c>
      <c r="J46" s="45">
        <f t="shared" si="47"/>
        <v>3530433.4450699999</v>
      </c>
      <c r="K46" s="45">
        <f t="shared" si="47"/>
        <v>3455230.8256999995</v>
      </c>
      <c r="L46" s="45">
        <f t="shared" si="47"/>
        <v>3618819.3760799998</v>
      </c>
      <c r="M46" s="45">
        <f t="shared" si="47"/>
        <v>4978353.7060599998</v>
      </c>
      <c r="N46" s="45">
        <f t="shared" si="47"/>
        <v>4119452.0896200007</v>
      </c>
      <c r="O46" s="41"/>
      <c r="P46" s="45">
        <f t="shared" ref="P46" si="48">P43+P44+P45</f>
        <v>4460093.0787200006</v>
      </c>
      <c r="Q46" s="54"/>
      <c r="R46" s="8">
        <f t="shared" ref="R46:X46" si="49">R43+R44+R45</f>
        <v>5772877.6987699997</v>
      </c>
      <c r="S46" s="8">
        <f t="shared" si="49"/>
        <v>4738100.4264299991</v>
      </c>
      <c r="T46" s="8">
        <f t="shared" si="49"/>
        <v>3804221.3058500001</v>
      </c>
      <c r="U46" s="33">
        <f t="shared" si="49"/>
        <v>5471526.6872799993</v>
      </c>
      <c r="V46" s="8">
        <f t="shared" si="49"/>
        <v>5124516.708180001</v>
      </c>
      <c r="W46" s="8">
        <f t="shared" si="49"/>
        <v>3207334.1784800002</v>
      </c>
      <c r="X46" s="8">
        <f t="shared" si="49"/>
        <v>3530433.4450699999</v>
      </c>
      <c r="Y46" s="45">
        <f t="shared" ref="Y46:AB46" si="50">Y43+Y44+Y45</f>
        <v>3455231</v>
      </c>
      <c r="Z46" s="8">
        <f t="shared" si="50"/>
        <v>3618820</v>
      </c>
      <c r="AA46" s="8">
        <f t="shared" si="50"/>
        <v>4978353.4756300002</v>
      </c>
      <c r="AB46" s="8">
        <f t="shared" si="50"/>
        <v>4119452</v>
      </c>
    </row>
    <row r="48" spans="1:29" x14ac:dyDescent="0.25">
      <c r="A48" s="1" t="s">
        <v>50</v>
      </c>
      <c r="B48" s="1"/>
      <c r="C48" s="1"/>
      <c r="D48" s="1"/>
      <c r="E48" s="1"/>
    </row>
    <row r="49" spans="1:28" x14ac:dyDescent="0.25">
      <c r="A49" t="s">
        <v>46</v>
      </c>
      <c r="B49" s="44">
        <v>13191477.600840002</v>
      </c>
      <c r="C49" s="54"/>
      <c r="D49" s="3">
        <v>12539267.794380002</v>
      </c>
      <c r="E49" s="3">
        <v>12064527.30549</v>
      </c>
      <c r="F49" s="3">
        <v>11652698.24437</v>
      </c>
      <c r="G49" s="3">
        <v>10689622.833270002</v>
      </c>
      <c r="H49" s="3">
        <v>10489261.202550001</v>
      </c>
      <c r="I49" s="3">
        <v>10065877.572609998</v>
      </c>
      <c r="J49" s="3">
        <v>9447670.1434599999</v>
      </c>
      <c r="K49" s="3">
        <v>9869509</v>
      </c>
      <c r="L49" s="3">
        <v>9543982</v>
      </c>
      <c r="M49" s="3">
        <v>8973437</v>
      </c>
      <c r="N49" s="3">
        <v>8753761</v>
      </c>
      <c r="O49" s="3"/>
      <c r="P49" s="44">
        <v>13191477.600840002</v>
      </c>
      <c r="Q49" s="54"/>
      <c r="R49" s="3">
        <v>12539267.794380002</v>
      </c>
      <c r="S49" s="3">
        <v>12064527.30549</v>
      </c>
      <c r="T49" s="3">
        <v>11652698.24437</v>
      </c>
      <c r="U49" s="3">
        <v>10689622.833270002</v>
      </c>
      <c r="V49" s="3">
        <v>10489261.202550001</v>
      </c>
      <c r="W49" s="3">
        <v>10065877.572609998</v>
      </c>
      <c r="X49" s="3">
        <v>9447670.1434599999</v>
      </c>
      <c r="Y49" s="3">
        <v>9869509</v>
      </c>
      <c r="Z49" s="3">
        <v>9543982</v>
      </c>
      <c r="AA49" s="3">
        <v>8973437</v>
      </c>
      <c r="AB49" s="3">
        <v>8753761</v>
      </c>
    </row>
    <row r="50" spans="1:28" x14ac:dyDescent="0.25">
      <c r="A50" t="s">
        <v>62</v>
      </c>
      <c r="B50" s="44">
        <f>G49</f>
        <v>10689622.833270002</v>
      </c>
      <c r="C50" s="54"/>
      <c r="D50" s="3">
        <v>10489261.202550001</v>
      </c>
      <c r="E50" s="3">
        <v>10065877.572609998</v>
      </c>
      <c r="F50" s="3">
        <v>9447670.1434599999</v>
      </c>
      <c r="G50" s="3">
        <v>9869508.6799800005</v>
      </c>
      <c r="H50" s="3">
        <v>9543982.2555199992</v>
      </c>
      <c r="I50" s="3">
        <v>8973437.0590400007</v>
      </c>
      <c r="J50" s="3">
        <v>8753760.9397400003</v>
      </c>
      <c r="K50" s="3">
        <v>8907541</v>
      </c>
      <c r="L50" s="3">
        <v>8325523</v>
      </c>
      <c r="M50" s="3">
        <v>8367959</v>
      </c>
      <c r="N50" s="3">
        <v>7930634</v>
      </c>
      <c r="O50" s="3"/>
      <c r="P50" s="44">
        <f>U49</f>
        <v>10689622.833270002</v>
      </c>
      <c r="Q50" s="54"/>
      <c r="R50" s="3">
        <v>10489261.202550001</v>
      </c>
      <c r="S50" s="3">
        <v>10065877.572609998</v>
      </c>
      <c r="T50" s="3">
        <v>9447670.1434599999</v>
      </c>
      <c r="U50" s="3">
        <v>9869508.6799800005</v>
      </c>
      <c r="V50" s="3">
        <v>9543982.2555199992</v>
      </c>
      <c r="W50" s="3">
        <v>8973437.0590400007</v>
      </c>
      <c r="X50" s="3">
        <v>8753760.9397400003</v>
      </c>
      <c r="Y50" s="3">
        <v>8907541</v>
      </c>
      <c r="Z50" s="3">
        <v>8325523</v>
      </c>
      <c r="AA50" s="3">
        <v>8367959</v>
      </c>
      <c r="AB50" s="3">
        <v>7930634</v>
      </c>
    </row>
    <row r="51" spans="1:28" x14ac:dyDescent="0.25">
      <c r="A51" s="5" t="s">
        <v>2</v>
      </c>
      <c r="B51" s="44">
        <f t="shared" ref="B51:D51" si="51">B49-B50</f>
        <v>2501854.7675700001</v>
      </c>
      <c r="C51" s="57"/>
      <c r="D51" s="3">
        <f t="shared" si="51"/>
        <v>2050006.5918300003</v>
      </c>
      <c r="E51" s="3">
        <f>E49-E50</f>
        <v>1998649.7328800019</v>
      </c>
      <c r="F51" s="6">
        <f>F49-F50</f>
        <v>2205028.1009100005</v>
      </c>
      <c r="G51" s="6">
        <f t="shared" ref="G51:N51" si="52">G49-G50</f>
        <v>820114.15329000168</v>
      </c>
      <c r="H51" s="6">
        <f t="shared" si="52"/>
        <v>945278.94703000225</v>
      </c>
      <c r="I51" s="6">
        <f t="shared" si="52"/>
        <v>1092440.5135699976</v>
      </c>
      <c r="J51" s="6">
        <f t="shared" si="52"/>
        <v>693909.20371999964</v>
      </c>
      <c r="K51" s="38">
        <f t="shared" si="52"/>
        <v>961968</v>
      </c>
      <c r="L51" s="38">
        <f t="shared" si="52"/>
        <v>1218459</v>
      </c>
      <c r="M51" s="38">
        <f t="shared" si="52"/>
        <v>605478</v>
      </c>
      <c r="N51" s="41">
        <f t="shared" si="52"/>
        <v>823127</v>
      </c>
      <c r="O51" s="41"/>
      <c r="P51" s="44">
        <f t="shared" ref="P51" si="53">P49-P50</f>
        <v>2501854.7675700001</v>
      </c>
      <c r="Q51" s="54"/>
      <c r="R51" s="3">
        <f t="shared" ref="R51" si="54">R49-R50</f>
        <v>2050006.5918300003</v>
      </c>
      <c r="S51" s="3">
        <f>S49-S50</f>
        <v>1998649.7328800019</v>
      </c>
      <c r="T51" s="6">
        <f>T49-T50</f>
        <v>2205028.1009100005</v>
      </c>
      <c r="U51" s="6">
        <f t="shared" ref="U51" si="55">U49-U50</f>
        <v>820114.15329000168</v>
      </c>
      <c r="V51" s="6">
        <f t="shared" ref="V51" si="56">V49-V50</f>
        <v>945278.94703000225</v>
      </c>
      <c r="W51" s="6">
        <f t="shared" ref="W51:AB51" si="57">W49-W50</f>
        <v>1092440.5135699976</v>
      </c>
      <c r="X51" s="6">
        <f t="shared" si="57"/>
        <v>693909.20371999964</v>
      </c>
      <c r="Y51" s="6">
        <f t="shared" si="57"/>
        <v>961968</v>
      </c>
      <c r="Z51" s="6">
        <f t="shared" si="57"/>
        <v>1218459</v>
      </c>
      <c r="AA51" s="6">
        <f t="shared" si="57"/>
        <v>605478</v>
      </c>
      <c r="AB51" s="6">
        <f t="shared" si="57"/>
        <v>823127</v>
      </c>
    </row>
    <row r="52" spans="1:28" x14ac:dyDescent="0.25">
      <c r="A52" s="7" t="s">
        <v>50</v>
      </c>
      <c r="B52" s="50">
        <f t="shared" ref="B52:D52" si="58">B51/B50</f>
        <v>0.23404518630753895</v>
      </c>
      <c r="C52" s="60"/>
      <c r="D52" s="9">
        <f t="shared" si="58"/>
        <v>0.19543860642269367</v>
      </c>
      <c r="E52" s="9">
        <f>E51/E50</f>
        <v>0.19855692844094155</v>
      </c>
      <c r="F52" s="9">
        <f>F51/F50</f>
        <v>0.23339384921650724</v>
      </c>
      <c r="G52" s="9">
        <f t="shared" ref="G52:AB52" si="59">G51/G50</f>
        <v>8.3095742643560205E-2</v>
      </c>
      <c r="H52" s="9">
        <f t="shared" si="59"/>
        <v>9.9044499635702554E-2</v>
      </c>
      <c r="I52" s="9">
        <f t="shared" si="59"/>
        <v>0.12174159203239227</v>
      </c>
      <c r="J52" s="9">
        <f t="shared" si="59"/>
        <v>7.9269837101652654E-2</v>
      </c>
      <c r="K52" s="9">
        <f t="shared" si="59"/>
        <v>0.10799478778711206</v>
      </c>
      <c r="L52" s="9">
        <f t="shared" si="59"/>
        <v>0.14635224718014711</v>
      </c>
      <c r="M52" s="9">
        <f t="shared" si="59"/>
        <v>7.2356712072800547E-2</v>
      </c>
      <c r="N52" s="9">
        <f t="shared" si="59"/>
        <v>0.10379081924597705</v>
      </c>
      <c r="O52" s="39"/>
      <c r="P52" s="50">
        <f t="shared" ref="P52" si="60">P51/P50</f>
        <v>0.23404518630753895</v>
      </c>
      <c r="Q52" s="54"/>
      <c r="R52" s="9">
        <f t="shared" si="59"/>
        <v>0.19543860642269367</v>
      </c>
      <c r="S52" s="9">
        <f t="shared" si="59"/>
        <v>0.19855692844094155</v>
      </c>
      <c r="T52" s="9">
        <f t="shared" si="59"/>
        <v>0.23339384921650724</v>
      </c>
      <c r="U52" s="9">
        <f t="shared" si="59"/>
        <v>8.3095742643560205E-2</v>
      </c>
      <c r="V52" s="9">
        <f t="shared" si="59"/>
        <v>9.9044499635702554E-2</v>
      </c>
      <c r="W52" s="9">
        <f t="shared" si="59"/>
        <v>0.12174159203239227</v>
      </c>
      <c r="X52" s="9">
        <f t="shared" si="59"/>
        <v>7.9269837101652654E-2</v>
      </c>
      <c r="Y52" s="9">
        <f t="shared" si="59"/>
        <v>0.10799478778711206</v>
      </c>
      <c r="Z52" s="9">
        <f t="shared" si="59"/>
        <v>0.14635224718014711</v>
      </c>
      <c r="AA52" s="9">
        <f t="shared" si="59"/>
        <v>7.2356712072800547E-2</v>
      </c>
      <c r="AB52" s="9">
        <f t="shared" si="59"/>
        <v>0.10379081924597705</v>
      </c>
    </row>
    <row r="54" spans="1:28" x14ac:dyDescent="0.25">
      <c r="A54" s="1" t="s">
        <v>23</v>
      </c>
      <c r="B54" s="1"/>
      <c r="C54" s="1"/>
      <c r="D54" s="1"/>
      <c r="E54" s="1"/>
    </row>
    <row r="55" spans="1:28" x14ac:dyDescent="0.25">
      <c r="A55" t="s">
        <v>45</v>
      </c>
      <c r="B55" s="44">
        <v>8544521.2093199994</v>
      </c>
      <c r="C55" s="54"/>
      <c r="D55" s="3">
        <v>9320338.1891399994</v>
      </c>
      <c r="E55" s="3">
        <v>8599452.2410400007</v>
      </c>
      <c r="F55" s="3">
        <v>7622722.7657399997</v>
      </c>
      <c r="G55" s="3">
        <v>8221356.0236999998</v>
      </c>
      <c r="H55" s="3">
        <v>8062416.8315700004</v>
      </c>
      <c r="I55" s="3">
        <v>6334170.33311</v>
      </c>
      <c r="J55" s="3">
        <v>7083931.4525799993</v>
      </c>
      <c r="K55" s="3">
        <v>7679671.3128800001</v>
      </c>
      <c r="L55" s="3">
        <v>8162773.5941299992</v>
      </c>
      <c r="M55" s="3">
        <v>8524793.1328699999</v>
      </c>
      <c r="N55" s="3">
        <v>7646799.9001600007</v>
      </c>
      <c r="O55" s="3"/>
      <c r="P55" s="44">
        <v>8544521.2093199994</v>
      </c>
      <c r="Q55" s="53"/>
      <c r="R55" s="3">
        <v>9320338.1891399994</v>
      </c>
      <c r="S55" s="3">
        <v>8599452.2410400007</v>
      </c>
      <c r="T55" s="3">
        <v>7622722.7657399997</v>
      </c>
      <c r="U55" s="3">
        <v>8221356.0236999998</v>
      </c>
      <c r="V55" s="3">
        <v>8062416.8315700004</v>
      </c>
      <c r="W55" s="3">
        <v>6334170.33311</v>
      </c>
      <c r="X55" s="3">
        <v>7083931.4525799993</v>
      </c>
      <c r="Y55" s="3">
        <v>7679671.3128800001</v>
      </c>
      <c r="Z55" s="3">
        <v>8162773.5941299992</v>
      </c>
      <c r="AA55" s="3">
        <v>8524793.1328699999</v>
      </c>
      <c r="AB55" s="3">
        <v>7646799.9001600007</v>
      </c>
    </row>
    <row r="56" spans="1:28" x14ac:dyDescent="0.25">
      <c r="A56" t="s">
        <v>101</v>
      </c>
      <c r="B56" s="44">
        <f>G55</f>
        <v>8221356.0236999998</v>
      </c>
      <c r="C56" s="54"/>
      <c r="D56" s="3">
        <v>8062416.8315700004</v>
      </c>
      <c r="E56" s="3">
        <v>6334170.33311</v>
      </c>
      <c r="F56" s="3">
        <v>7083931.4525799993</v>
      </c>
      <c r="G56" s="3">
        <v>7679671.3128800001</v>
      </c>
      <c r="H56" s="3">
        <v>8162773.5941299992</v>
      </c>
      <c r="I56" s="3">
        <v>8524793.1328699999</v>
      </c>
      <c r="J56" s="3">
        <v>7646799.9001600007</v>
      </c>
      <c r="K56" s="3">
        <v>7631387</v>
      </c>
      <c r="L56" s="3">
        <v>7429021</v>
      </c>
      <c r="M56" s="3">
        <v>6949160</v>
      </c>
      <c r="N56" s="3">
        <v>6454925</v>
      </c>
      <c r="O56" s="3"/>
      <c r="P56" s="44">
        <f>U55</f>
        <v>8221356.0236999998</v>
      </c>
      <c r="Q56" s="53"/>
      <c r="R56" s="3">
        <v>8062416.8315700004</v>
      </c>
      <c r="S56" s="3">
        <v>6334170.33311</v>
      </c>
      <c r="T56" s="3">
        <v>7083931.4525799993</v>
      </c>
      <c r="U56" s="3">
        <v>7679671.3128800001</v>
      </c>
      <c r="V56" s="3">
        <v>8162773.5941299992</v>
      </c>
      <c r="W56" s="3">
        <v>8524793.1328699999</v>
      </c>
      <c r="X56" s="3">
        <v>7646799.9001600007</v>
      </c>
      <c r="Y56" s="3">
        <v>7631387</v>
      </c>
      <c r="Z56" s="3">
        <v>7429021</v>
      </c>
      <c r="AA56" s="3">
        <v>6949160</v>
      </c>
      <c r="AB56" s="3">
        <v>6454925</v>
      </c>
    </row>
    <row r="57" spans="1:28" x14ac:dyDescent="0.25">
      <c r="A57" s="5" t="s">
        <v>51</v>
      </c>
      <c r="B57" s="44">
        <f t="shared" ref="B57:D57" si="61">B55-B56</f>
        <v>323165.18561999965</v>
      </c>
      <c r="C57" s="57"/>
      <c r="D57" s="3">
        <f t="shared" si="61"/>
        <v>1257921.3575699991</v>
      </c>
      <c r="E57" s="3">
        <f>E55-E56</f>
        <v>2265281.9079300007</v>
      </c>
      <c r="F57" s="6">
        <f>F55-F56</f>
        <v>538791.31316000037</v>
      </c>
      <c r="G57" s="6">
        <f t="shared" ref="G57" si="62">G55-G56</f>
        <v>541684.71081999969</v>
      </c>
      <c r="H57" s="6">
        <f t="shared" ref="H57" si="63">H55-H56</f>
        <v>-100356.76255999878</v>
      </c>
      <c r="I57" s="6">
        <f t="shared" ref="I57" si="64">I55-I56</f>
        <v>-2190622.7997599998</v>
      </c>
      <c r="J57" s="6">
        <f t="shared" ref="J57:N57" si="65">J55-J56</f>
        <v>-562868.44758000132</v>
      </c>
      <c r="K57" s="38">
        <f t="shared" si="65"/>
        <v>48284.3128800001</v>
      </c>
      <c r="L57" s="38">
        <f t="shared" si="65"/>
        <v>733752.59412999917</v>
      </c>
      <c r="M57" s="38">
        <f t="shared" si="65"/>
        <v>1575633.1328699999</v>
      </c>
      <c r="N57" s="38">
        <f t="shared" si="65"/>
        <v>1191874.9001600007</v>
      </c>
      <c r="O57" s="38"/>
      <c r="P57" s="44">
        <f>P55-P56</f>
        <v>323165.18561999965</v>
      </c>
      <c r="Q57" s="54"/>
      <c r="R57" s="3">
        <f>R55-R56</f>
        <v>1257921.3575699991</v>
      </c>
      <c r="S57" s="3">
        <f>S55-S56</f>
        <v>2265281.9079300007</v>
      </c>
      <c r="T57" s="6">
        <f>T55-T56</f>
        <v>538791.31316000037</v>
      </c>
      <c r="U57" s="6">
        <f t="shared" ref="U57" si="66">U55-U56</f>
        <v>541684.71081999969</v>
      </c>
      <c r="V57" s="6">
        <f t="shared" ref="V57" si="67">V55-V56</f>
        <v>-100356.76255999878</v>
      </c>
      <c r="W57" s="6">
        <f t="shared" ref="W57:AB57" si="68">W55-W56</f>
        <v>-2190622.7997599998</v>
      </c>
      <c r="X57" s="6">
        <f t="shared" si="68"/>
        <v>-562868.44758000132</v>
      </c>
      <c r="Y57" s="6">
        <f t="shared" si="68"/>
        <v>48284.3128800001</v>
      </c>
      <c r="Z57" s="6">
        <f t="shared" si="68"/>
        <v>733752.59412999917</v>
      </c>
      <c r="AA57" s="6">
        <f t="shared" si="68"/>
        <v>1575633.1328699999</v>
      </c>
      <c r="AB57" s="6">
        <f t="shared" si="68"/>
        <v>1191874.9001600007</v>
      </c>
    </row>
    <row r="58" spans="1:28" x14ac:dyDescent="0.25">
      <c r="A58" s="7" t="s">
        <v>23</v>
      </c>
      <c r="B58" s="50">
        <f>B57/B56</f>
        <v>3.9308014965949621E-2</v>
      </c>
      <c r="C58" s="60"/>
      <c r="D58" s="9">
        <f>D57/D56</f>
        <v>0.15602286310034941</v>
      </c>
      <c r="E58" s="9">
        <f>E57/E56</f>
        <v>0.35762882726549211</v>
      </c>
      <c r="F58" s="9">
        <f>F57/F56</f>
        <v>7.6058233590581989E-2</v>
      </c>
      <c r="G58" s="9">
        <f t="shared" ref="G58" si="69">G57/G56</f>
        <v>7.0534882125945983E-2</v>
      </c>
      <c r="H58" s="9">
        <f t="shared" ref="H58" si="70">H57/H56</f>
        <v>-1.2294443965978325E-2</v>
      </c>
      <c r="I58" s="9">
        <f t="shared" ref="I58" si="71">I57/I56</f>
        <v>-0.25697078692893677</v>
      </c>
      <c r="J58" s="9">
        <f t="shared" ref="J58:N58" si="72">J57/J56</f>
        <v>-7.3608366235426659E-2</v>
      </c>
      <c r="K58" s="9">
        <f t="shared" si="72"/>
        <v>6.3270691002828318E-3</v>
      </c>
      <c r="L58" s="9">
        <f t="shared" si="72"/>
        <v>9.8768410283131408E-2</v>
      </c>
      <c r="M58" s="9">
        <f t="shared" si="72"/>
        <v>0.22673720749989926</v>
      </c>
      <c r="N58" s="9">
        <f t="shared" si="72"/>
        <v>0.18464581697850876</v>
      </c>
      <c r="O58" s="39"/>
      <c r="P58" s="50">
        <f>P57/P56</f>
        <v>3.9308014965949621E-2</v>
      </c>
      <c r="Q58" s="56"/>
      <c r="R58" s="9">
        <f>R57/R56</f>
        <v>0.15602286310034941</v>
      </c>
      <c r="S58" s="9">
        <f>S57/S56</f>
        <v>0.35762882726549211</v>
      </c>
      <c r="T58" s="9">
        <f>T57/T56</f>
        <v>7.6058233590581989E-2</v>
      </c>
      <c r="U58" s="9">
        <f t="shared" ref="U58" si="73">U57/U56</f>
        <v>7.0534882125945983E-2</v>
      </c>
      <c r="V58" s="9">
        <f t="shared" ref="V58" si="74">V57/V56</f>
        <v>-1.2294443965978325E-2</v>
      </c>
      <c r="W58" s="9">
        <f t="shared" ref="W58:AB58" si="75">W57/W56</f>
        <v>-0.25697078692893677</v>
      </c>
      <c r="X58" s="9">
        <f t="shared" si="75"/>
        <v>-7.3608366235426659E-2</v>
      </c>
      <c r="Y58" s="9">
        <f t="shared" si="75"/>
        <v>6.3270691002828318E-3</v>
      </c>
      <c r="Z58" s="9">
        <f t="shared" si="75"/>
        <v>9.8768410283131408E-2</v>
      </c>
      <c r="AA58" s="9">
        <f t="shared" si="75"/>
        <v>0.22673720749989926</v>
      </c>
      <c r="AB58" s="9">
        <f t="shared" si="75"/>
        <v>0.18464581697850876</v>
      </c>
    </row>
    <row r="60" spans="1:28" x14ac:dyDescent="0.25">
      <c r="A60" s="1" t="s">
        <v>60</v>
      </c>
      <c r="B60" s="1"/>
      <c r="C60" s="1"/>
      <c r="D60" s="1"/>
      <c r="E60" s="1"/>
    </row>
    <row r="61" spans="1:28" x14ac:dyDescent="0.25">
      <c r="A61" t="s">
        <v>52</v>
      </c>
      <c r="B61" s="3">
        <v>659343.40923999995</v>
      </c>
      <c r="C61" s="54"/>
      <c r="D61" s="3">
        <v>698850.01835999999</v>
      </c>
      <c r="E61" s="3">
        <f>610868861.52/1000</f>
        <v>610868.86152000003</v>
      </c>
      <c r="F61" s="3">
        <v>593491.11906000017</v>
      </c>
      <c r="G61" s="3">
        <v>671930.47348000063</v>
      </c>
      <c r="H61" s="3">
        <v>659750.1611899999</v>
      </c>
      <c r="I61" s="3">
        <v>811877.9841499998</v>
      </c>
      <c r="J61" s="3">
        <v>826903.33932000014</v>
      </c>
      <c r="K61" s="3">
        <v>869796.66030999995</v>
      </c>
      <c r="L61" s="3">
        <v>922590.16842999996</v>
      </c>
      <c r="M61" s="3">
        <v>969226.64977999998</v>
      </c>
      <c r="N61" s="3">
        <v>980140.723</v>
      </c>
      <c r="O61" s="3"/>
      <c r="P61" s="3">
        <v>659343.40923999995</v>
      </c>
      <c r="Q61" s="53"/>
      <c r="R61" s="3">
        <v>698850.01835999999</v>
      </c>
      <c r="S61" s="3">
        <v>610868.86152000003</v>
      </c>
      <c r="T61" s="3">
        <v>593491.11906000017</v>
      </c>
      <c r="U61" s="3">
        <v>671930.47348000063</v>
      </c>
      <c r="V61" s="3">
        <v>659750.1611899999</v>
      </c>
      <c r="W61" s="3">
        <v>811877.9841499998</v>
      </c>
      <c r="X61" s="3">
        <v>826903.33932000014</v>
      </c>
      <c r="Y61" s="3">
        <v>869796.66030999995</v>
      </c>
      <c r="Z61" s="3">
        <v>922590.16842999996</v>
      </c>
      <c r="AA61" s="3">
        <v>969226.64977999998</v>
      </c>
      <c r="AB61" s="3">
        <v>980140.723</v>
      </c>
    </row>
    <row r="62" spans="1:28" x14ac:dyDescent="0.25">
      <c r="A62" t="s">
        <v>57</v>
      </c>
      <c r="B62" s="3">
        <v>2421732.2719899998</v>
      </c>
      <c r="C62" s="54"/>
      <c r="D62" s="3">
        <v>2610978.69845</v>
      </c>
      <c r="E62" s="3">
        <f>2612212263.59/1000</f>
        <v>2612212.2635900001</v>
      </c>
      <c r="F62" s="3">
        <v>2446157.8333599996</v>
      </c>
      <c r="G62" s="3">
        <v>2340624.402780009</v>
      </c>
      <c r="H62" s="3">
        <v>2639010.1642400003</v>
      </c>
      <c r="I62" s="3">
        <v>2225345.7036899994</v>
      </c>
      <c r="J62" s="35">
        <v>2452449.5615900005</v>
      </c>
      <c r="K62" s="3">
        <v>2689903.1928599998</v>
      </c>
      <c r="L62" s="3">
        <v>2756523.6451400002</v>
      </c>
      <c r="M62" s="3">
        <v>2481287.3475199998</v>
      </c>
      <c r="N62" s="3">
        <v>2573221.0389299998</v>
      </c>
      <c r="O62" s="3"/>
      <c r="P62" s="3">
        <v>2421732.2719899998</v>
      </c>
      <c r="Q62" s="53"/>
      <c r="R62" s="3">
        <v>2610978.69845</v>
      </c>
      <c r="S62" s="3">
        <v>2612212.2635900001</v>
      </c>
      <c r="T62" s="3">
        <v>2446157.8333599996</v>
      </c>
      <c r="U62" s="3">
        <v>2340624.402780009</v>
      </c>
      <c r="V62" s="3">
        <v>2639010.1642400003</v>
      </c>
      <c r="W62" s="3">
        <v>2225345.7036899994</v>
      </c>
      <c r="X62" s="35">
        <v>2452449.5615900005</v>
      </c>
      <c r="Y62" s="3">
        <v>2689903.1928599998</v>
      </c>
      <c r="Z62" s="3">
        <v>2756523.6451400002</v>
      </c>
      <c r="AA62" s="3">
        <v>2481287.3475199998</v>
      </c>
      <c r="AB62" s="3">
        <v>2573221.0389299998</v>
      </c>
    </row>
    <row r="63" spans="1:28" x14ac:dyDescent="0.25">
      <c r="A63" t="s">
        <v>53</v>
      </c>
      <c r="B63" s="3">
        <v>1187629.31406</v>
      </c>
      <c r="C63" s="54"/>
      <c r="D63" s="3">
        <v>1225405.6500500001</v>
      </c>
      <c r="E63" s="3">
        <f>1285415844.48/1000</f>
        <v>1285415.84448</v>
      </c>
      <c r="F63" s="3">
        <v>1214574.7503</v>
      </c>
      <c r="G63" s="3">
        <v>1420014.3468299999</v>
      </c>
      <c r="H63" s="3">
        <v>1394869.1190200001</v>
      </c>
      <c r="I63" s="3">
        <v>1494844.0152999999</v>
      </c>
      <c r="J63" s="3">
        <v>1762248.6553900002</v>
      </c>
      <c r="K63" s="3">
        <v>1738393.7264099999</v>
      </c>
      <c r="L63" s="3">
        <v>1792285.0506899999</v>
      </c>
      <c r="M63" s="3">
        <v>1929234.2647899999</v>
      </c>
      <c r="N63" s="3">
        <v>1684277.60773</v>
      </c>
      <c r="O63" s="3"/>
      <c r="P63" s="3">
        <v>1187629.31406</v>
      </c>
      <c r="Q63" s="53"/>
      <c r="R63" s="3">
        <v>1225405.6500500001</v>
      </c>
      <c r="S63" s="3">
        <v>1285415.84448</v>
      </c>
      <c r="T63" s="3">
        <v>1214574.7503</v>
      </c>
      <c r="U63" s="3">
        <v>1420014.3468299999</v>
      </c>
      <c r="V63" s="3">
        <v>1394869.1190200001</v>
      </c>
      <c r="W63" s="3">
        <v>1494844.0152999999</v>
      </c>
      <c r="X63" s="3">
        <v>1762248.6553900002</v>
      </c>
      <c r="Y63" s="3">
        <v>1738393.7264099999</v>
      </c>
      <c r="Z63" s="3">
        <v>1792285.0506899999</v>
      </c>
      <c r="AA63" s="3">
        <v>1929234.2647899999</v>
      </c>
      <c r="AB63" s="3">
        <v>1684277.60773</v>
      </c>
    </row>
    <row r="64" spans="1:28" x14ac:dyDescent="0.25">
      <c r="A64" t="s">
        <v>55</v>
      </c>
      <c r="B64" s="3">
        <v>2827884.0345000001</v>
      </c>
      <c r="C64" s="54"/>
      <c r="D64" s="3">
        <v>2978259.9663399998</v>
      </c>
      <c r="E64" s="3">
        <f>2934930399.96/1000</f>
        <v>2934930.3999600001</v>
      </c>
      <c r="F64" s="3">
        <v>2691338.43181</v>
      </c>
      <c r="G64" s="3">
        <v>2312605.2980800006</v>
      </c>
      <c r="H64" s="3">
        <v>1814157.0989999999</v>
      </c>
      <c r="I64" s="3">
        <v>1033563.5385499999</v>
      </c>
      <c r="J64" s="3">
        <v>1112237.1599000001</v>
      </c>
      <c r="K64" s="3">
        <v>1248660.4455599999</v>
      </c>
      <c r="L64" s="3">
        <v>1348154.6461799999</v>
      </c>
      <c r="M64" s="3">
        <v>1480763.67239</v>
      </c>
      <c r="N64" s="3">
        <v>1765520.9273000001</v>
      </c>
      <c r="O64" s="3"/>
      <c r="P64" s="3">
        <v>2827884.0345000001</v>
      </c>
      <c r="Q64" s="53"/>
      <c r="R64" s="3">
        <v>2978259.9663399998</v>
      </c>
      <c r="S64" s="3">
        <v>2934930.3999600001</v>
      </c>
      <c r="T64" s="3">
        <v>2691338.43181</v>
      </c>
      <c r="U64" s="3">
        <v>2312605.2980800006</v>
      </c>
      <c r="V64" s="3">
        <v>1814157.0989999999</v>
      </c>
      <c r="W64" s="3">
        <v>1033563.5385499999</v>
      </c>
      <c r="X64" s="3">
        <v>1112237.1599000001</v>
      </c>
      <c r="Y64" s="3">
        <v>1248660.4455599999</v>
      </c>
      <c r="Z64" s="3">
        <v>1348154.6461799999</v>
      </c>
      <c r="AA64" s="3">
        <v>1480763.67239</v>
      </c>
      <c r="AB64" s="3">
        <v>1765520.9273000001</v>
      </c>
    </row>
    <row r="65" spans="1:28" x14ac:dyDescent="0.25">
      <c r="A65" t="s">
        <v>54</v>
      </c>
      <c r="B65" s="3">
        <v>1421441.0476800001</v>
      </c>
      <c r="C65" s="54"/>
      <c r="D65" s="3">
        <v>1781769.01461</v>
      </c>
      <c r="E65" s="3">
        <f>1124057026.89/1000</f>
        <v>1124057.0268900001</v>
      </c>
      <c r="F65" s="3">
        <v>648863.59814000002</v>
      </c>
      <c r="G65" s="3">
        <v>1461738.1980099995</v>
      </c>
      <c r="H65" s="3">
        <v>1545316.6159000001</v>
      </c>
      <c r="I65" s="3">
        <v>765026.69782999996</v>
      </c>
      <c r="J65" s="3">
        <v>916495.09390999994</v>
      </c>
      <c r="K65" s="3">
        <v>1117878.0612900001</v>
      </c>
      <c r="L65" s="3">
        <v>1331044.5294600001</v>
      </c>
      <c r="M65" s="3">
        <v>1651882.4381800001</v>
      </c>
      <c r="N65" s="3">
        <v>619790.93501000002</v>
      </c>
      <c r="O65" s="3"/>
      <c r="P65" s="3">
        <v>1421441.0476800001</v>
      </c>
      <c r="Q65" s="53"/>
      <c r="R65" s="3">
        <v>1781769.01461</v>
      </c>
      <c r="S65" s="3">
        <v>1124057.0268900001</v>
      </c>
      <c r="T65" s="3">
        <v>648863.59814000002</v>
      </c>
      <c r="U65" s="3">
        <v>1461738.1980099995</v>
      </c>
      <c r="V65" s="3">
        <v>1545316.6159000001</v>
      </c>
      <c r="W65" s="3">
        <v>765026.69782999996</v>
      </c>
      <c r="X65" s="3">
        <v>916495.09390999994</v>
      </c>
      <c r="Y65" s="3">
        <v>1117878.0612900001</v>
      </c>
      <c r="Z65" s="3">
        <v>1331044.5294600001</v>
      </c>
      <c r="AA65" s="3">
        <v>1651882.4381800001</v>
      </c>
      <c r="AB65" s="3">
        <v>619790.93501000002</v>
      </c>
    </row>
    <row r="66" spans="1:28" x14ac:dyDescent="0.25">
      <c r="A66" s="5" t="s">
        <v>56</v>
      </c>
      <c r="B66" s="3">
        <f>SUM(B61:B65)</f>
        <v>8518030.0774700008</v>
      </c>
      <c r="C66" s="57"/>
      <c r="D66" s="3">
        <f>SUM(D61:D65)</f>
        <v>9295263.3478100002</v>
      </c>
      <c r="E66" s="3">
        <f>SUM(E61:E65)</f>
        <v>8567484.3964400012</v>
      </c>
      <c r="F66" s="3">
        <v>7594425.7326699998</v>
      </c>
      <c r="G66" s="3">
        <v>8206912.7191800093</v>
      </c>
      <c r="H66" s="3">
        <v>8053103.1599999992</v>
      </c>
      <c r="I66" s="3">
        <v>6330657.9395199986</v>
      </c>
      <c r="J66" s="3">
        <v>7070333.8101100018</v>
      </c>
      <c r="K66" s="3">
        <f>SUM(K61:K65)</f>
        <v>7664632.0864300001</v>
      </c>
      <c r="L66" s="3">
        <f>SUM(L61:L65)</f>
        <v>8150598.0399000002</v>
      </c>
      <c r="M66" s="3">
        <f>SUM(M61:M65)</f>
        <v>8512394.3726599999</v>
      </c>
      <c r="N66" s="3">
        <f>SUM(N61:N65)</f>
        <v>7622951.2319700001</v>
      </c>
      <c r="O66" s="3"/>
      <c r="P66" s="3">
        <f>SUM(P61:P65)</f>
        <v>8518030.0774700008</v>
      </c>
      <c r="Q66" s="53"/>
      <c r="R66" s="3">
        <f>SUM(R61:R65)</f>
        <v>9295263.3478100002</v>
      </c>
      <c r="S66" s="3">
        <v>8567484.3964400012</v>
      </c>
      <c r="T66" s="3">
        <v>7594425.7326699998</v>
      </c>
      <c r="U66" s="3">
        <v>8206912.7191800093</v>
      </c>
      <c r="V66" s="3">
        <v>8053103.1599999992</v>
      </c>
      <c r="W66" s="3">
        <v>6330657.9395199986</v>
      </c>
      <c r="X66" s="3">
        <v>7070333.8101100018</v>
      </c>
      <c r="Y66" s="3">
        <v>7664632.0864300001</v>
      </c>
      <c r="Z66" s="3">
        <v>8150598.0399000002</v>
      </c>
      <c r="AA66" s="3">
        <v>8512394.3726599999</v>
      </c>
      <c r="AB66" s="3">
        <v>7622951.2319700001</v>
      </c>
    </row>
    <row r="67" spans="1:28" x14ac:dyDescent="0.25">
      <c r="A67" s="7" t="s">
        <v>9</v>
      </c>
      <c r="B67" s="9">
        <f>B64/B66</f>
        <v>0.33198803112701963</v>
      </c>
      <c r="C67" s="60"/>
      <c r="D67" s="50">
        <f>D64/D66</f>
        <v>0.3204061955965658</v>
      </c>
      <c r="E67" s="9">
        <f>E64/E66</f>
        <v>0.34256617977378928</v>
      </c>
      <c r="F67" s="9">
        <f>F64/F66</f>
        <v>0.35438340258333084</v>
      </c>
      <c r="G67" s="9">
        <f t="shared" ref="G67:AB67" si="76">G64/G66</f>
        <v>0.28178748540548187</v>
      </c>
      <c r="H67" s="9">
        <f t="shared" si="76"/>
        <v>0.22527429028985643</v>
      </c>
      <c r="I67" s="9">
        <f t="shared" si="76"/>
        <v>0.16326321030517824</v>
      </c>
      <c r="J67" s="9">
        <f>J64/J66</f>
        <v>0.15731041698619541</v>
      </c>
      <c r="K67" s="9">
        <f>K64/K66</f>
        <v>0.16291198735692944</v>
      </c>
      <c r="L67" s="9">
        <f>L64/L66</f>
        <v>0.16540561067793014</v>
      </c>
      <c r="M67" s="9">
        <f>M64/M66</f>
        <v>0.17395383808178552</v>
      </c>
      <c r="N67" s="9">
        <f>N64/N66</f>
        <v>0.23160595858144253</v>
      </c>
      <c r="O67" s="39"/>
      <c r="P67" s="50">
        <f t="shared" ref="P67:S67" si="77">P64/P66</f>
        <v>0.33198803112701963</v>
      </c>
      <c r="Q67" s="88"/>
      <c r="R67" s="50">
        <f t="shared" si="77"/>
        <v>0.3204061955965658</v>
      </c>
      <c r="S67" s="9">
        <f t="shared" si="77"/>
        <v>0.34256617977378928</v>
      </c>
      <c r="T67" s="9">
        <f t="shared" si="76"/>
        <v>0.35438340258333084</v>
      </c>
      <c r="U67" s="9">
        <f t="shared" si="76"/>
        <v>0.28178748540548187</v>
      </c>
      <c r="V67" s="9">
        <f t="shared" si="76"/>
        <v>0.22527429028985643</v>
      </c>
      <c r="W67" s="9">
        <f t="shared" si="76"/>
        <v>0.16326321030517824</v>
      </c>
      <c r="X67" s="9">
        <f t="shared" si="76"/>
        <v>0.15731041698619541</v>
      </c>
      <c r="Y67" s="9">
        <f t="shared" si="76"/>
        <v>0.16291198735692944</v>
      </c>
      <c r="Z67" s="9">
        <f t="shared" si="76"/>
        <v>0.16540561067793014</v>
      </c>
      <c r="AA67" s="9">
        <f t="shared" si="76"/>
        <v>0.17395383808178552</v>
      </c>
      <c r="AB67" s="9">
        <f t="shared" si="76"/>
        <v>0.23160595858144253</v>
      </c>
    </row>
    <row r="68" spans="1:28" x14ac:dyDescent="0.25">
      <c r="A68" s="7" t="s">
        <v>58</v>
      </c>
      <c r="B68" s="9">
        <f>B63/B66</f>
        <v>0.13942534873189202</v>
      </c>
      <c r="C68" s="60"/>
      <c r="D68" s="50">
        <f>D63/D66</f>
        <v>0.13183119231782822</v>
      </c>
      <c r="E68" s="9">
        <f>E63/E66</f>
        <v>0.15003422066506727</v>
      </c>
      <c r="F68" s="9">
        <f>F63/F66</f>
        <v>0.15992976862952185</v>
      </c>
      <c r="G68" s="9">
        <f t="shared" ref="G68:AB68" si="78">G63/G66</f>
        <v>0.17302661736749653</v>
      </c>
      <c r="H68" s="9">
        <f t="shared" si="78"/>
        <v>0.17320889740347004</v>
      </c>
      <c r="I68" s="9">
        <f t="shared" si="78"/>
        <v>0.2361277500033972</v>
      </c>
      <c r="J68" s="9">
        <f>J63/J66</f>
        <v>0.24924546743042431</v>
      </c>
      <c r="K68" s="9">
        <f>K63/K66</f>
        <v>0.22680719789378717</v>
      </c>
      <c r="L68" s="9">
        <f>L63/L66</f>
        <v>0.21989614037106772</v>
      </c>
      <c r="M68" s="9">
        <f>M63/M66</f>
        <v>0.2266382618486627</v>
      </c>
      <c r="N68" s="9">
        <f>N63/N66</f>
        <v>0.22094823336482661</v>
      </c>
      <c r="O68" s="39"/>
      <c r="P68" s="50">
        <f t="shared" ref="P68:S68" si="79">P63/P66</f>
        <v>0.13942534873189202</v>
      </c>
      <c r="Q68" s="88"/>
      <c r="R68" s="50">
        <f t="shared" si="79"/>
        <v>0.13183119231782822</v>
      </c>
      <c r="S68" s="9">
        <f t="shared" si="79"/>
        <v>0.15003422066506727</v>
      </c>
      <c r="T68" s="9">
        <f t="shared" si="78"/>
        <v>0.15992976862952185</v>
      </c>
      <c r="U68" s="9">
        <f t="shared" si="78"/>
        <v>0.17302661736749653</v>
      </c>
      <c r="V68" s="9">
        <f t="shared" si="78"/>
        <v>0.17320889740347004</v>
      </c>
      <c r="W68" s="9">
        <f t="shared" si="78"/>
        <v>0.2361277500033972</v>
      </c>
      <c r="X68" s="9">
        <f t="shared" si="78"/>
        <v>0.24924546743042431</v>
      </c>
      <c r="Y68" s="9">
        <f t="shared" si="78"/>
        <v>0.22680719789378717</v>
      </c>
      <c r="Z68" s="9">
        <f t="shared" si="78"/>
        <v>0.21989614037106772</v>
      </c>
      <c r="AA68" s="9">
        <f t="shared" si="78"/>
        <v>0.2266382618486627</v>
      </c>
      <c r="AB68" s="9">
        <f t="shared" si="78"/>
        <v>0.22094823336482661</v>
      </c>
    </row>
    <row r="70" spans="1:28" x14ac:dyDescent="0.25">
      <c r="A70" s="1" t="s">
        <v>83</v>
      </c>
      <c r="B70" s="1"/>
      <c r="C70" s="1"/>
      <c r="D70" s="1"/>
      <c r="E70" s="1"/>
    </row>
    <row r="71" spans="1:28" x14ac:dyDescent="0.25">
      <c r="A71" t="s">
        <v>61</v>
      </c>
      <c r="B71" s="53"/>
      <c r="C71" s="53"/>
      <c r="D71" s="53"/>
      <c r="E71" s="53"/>
      <c r="F71" s="3">
        <v>4553.0002399999976</v>
      </c>
      <c r="G71" s="53"/>
      <c r="H71" s="53"/>
      <c r="I71" s="53"/>
      <c r="J71" s="3">
        <v>11421.489740000001</v>
      </c>
      <c r="K71" s="53"/>
      <c r="L71" s="53"/>
      <c r="M71" s="53"/>
      <c r="N71" s="3">
        <v>30661</v>
      </c>
      <c r="O71" s="3"/>
      <c r="P71" s="3">
        <v>9111.5287999999964</v>
      </c>
      <c r="Q71" s="54"/>
      <c r="R71" s="3">
        <v>14935</v>
      </c>
      <c r="S71" s="3">
        <v>972.06506000000002</v>
      </c>
      <c r="T71" s="3">
        <v>9046.896289999997</v>
      </c>
      <c r="U71" s="3">
        <v>4033.9044700000022</v>
      </c>
      <c r="V71" s="3">
        <v>-5853.951070000001</v>
      </c>
      <c r="W71" s="3">
        <v>-2673.8494500000002</v>
      </c>
      <c r="X71" s="3">
        <v>968</v>
      </c>
      <c r="Y71" s="3">
        <v>2269.7003300000006</v>
      </c>
      <c r="Z71" s="3">
        <v>6421.4474000000009</v>
      </c>
      <c r="AA71" s="3">
        <v>1762.49568</v>
      </c>
      <c r="AB71" s="3">
        <v>11813.92468</v>
      </c>
    </row>
    <row r="72" spans="1:28" x14ac:dyDescent="0.25">
      <c r="A72" t="s">
        <v>46</v>
      </c>
      <c r="B72" s="53"/>
      <c r="C72" s="53"/>
      <c r="D72" s="53"/>
      <c r="E72" s="53"/>
      <c r="F72" s="3">
        <v>11652698.24437</v>
      </c>
      <c r="G72" s="53"/>
      <c r="H72" s="53"/>
      <c r="I72" s="53"/>
      <c r="J72" s="3">
        <v>9447670.1434599999</v>
      </c>
      <c r="K72" s="53"/>
      <c r="L72" s="53"/>
      <c r="M72" s="53"/>
      <c r="N72" s="3">
        <v>8753760.9397400003</v>
      </c>
      <c r="O72" s="3"/>
      <c r="P72" s="3">
        <v>13191477.600840002</v>
      </c>
      <c r="Q72" s="54"/>
      <c r="R72" s="3">
        <v>12539267.794380002</v>
      </c>
      <c r="S72" s="3">
        <v>12064527.30549</v>
      </c>
      <c r="T72" s="3">
        <v>11652698.24437</v>
      </c>
      <c r="U72" s="3">
        <v>10689622.833270002</v>
      </c>
      <c r="V72" s="3">
        <v>10489261.202550001</v>
      </c>
      <c r="W72" s="3">
        <v>10065877.572609998</v>
      </c>
      <c r="X72" s="3">
        <v>9447670.1434599999</v>
      </c>
      <c r="Y72" s="3">
        <v>9869508.6799800005</v>
      </c>
      <c r="Z72" s="3">
        <v>9543982.2555199992</v>
      </c>
      <c r="AA72" s="3">
        <v>8973437.0590400007</v>
      </c>
      <c r="AB72" s="3">
        <v>8753760.9397400003</v>
      </c>
    </row>
    <row r="73" spans="1:28" x14ac:dyDescent="0.25">
      <c r="A73" s="5" t="s">
        <v>63</v>
      </c>
      <c r="B73" s="53"/>
      <c r="C73" s="53"/>
      <c r="D73" s="53"/>
      <c r="E73" s="53"/>
      <c r="F73" s="6">
        <f>(F72+J72)/2</f>
        <v>10550184.193915</v>
      </c>
      <c r="G73" s="61"/>
      <c r="H73" s="61"/>
      <c r="I73" s="61"/>
      <c r="J73" s="6">
        <v>9100715.5416000001</v>
      </c>
      <c r="K73" s="59"/>
      <c r="L73" s="59"/>
      <c r="M73" s="59"/>
      <c r="N73" s="38">
        <f>(7930634+N72)/2</f>
        <v>8342197.4698700001</v>
      </c>
      <c r="O73" s="38"/>
      <c r="P73" s="38">
        <f>(P72+R72)/2</f>
        <v>12865372.697610002</v>
      </c>
      <c r="Q73" s="54"/>
      <c r="R73" s="6">
        <f t="shared" ref="R73" si="80">(R72+S72)/2</f>
        <v>12301897.549935002</v>
      </c>
      <c r="S73" s="3">
        <f>(S72+T72)/2</f>
        <v>11858612.77493</v>
      </c>
      <c r="T73" s="6">
        <f>(T72+U72)/2</f>
        <v>11171160.538820002</v>
      </c>
      <c r="U73" s="6">
        <f t="shared" ref="U73:X73" si="81">(U72+V72)/2</f>
        <v>10589442.017910002</v>
      </c>
      <c r="V73" s="6">
        <f t="shared" si="81"/>
        <v>10277569.38758</v>
      </c>
      <c r="W73" s="6">
        <v>9756773.8580349982</v>
      </c>
      <c r="X73" s="6">
        <f t="shared" si="81"/>
        <v>9658589.4117200002</v>
      </c>
      <c r="Y73" s="3">
        <f t="shared" ref="Y73" si="82">(Y72+Z72)/2</f>
        <v>9706745.4677499998</v>
      </c>
      <c r="Z73" s="3">
        <f t="shared" ref="Z73" si="83">(Z72+AA72)/2</f>
        <v>9258709.6572799999</v>
      </c>
      <c r="AA73" s="3">
        <f t="shared" ref="AA73" si="84">(AA72+AB72)/2</f>
        <v>8863598.9993900005</v>
      </c>
      <c r="AB73" s="3">
        <f>(AB72+8907541)/2</f>
        <v>8830650.9698700011</v>
      </c>
    </row>
    <row r="74" spans="1:28" x14ac:dyDescent="0.25">
      <c r="A74" s="7" t="s">
        <v>83</v>
      </c>
      <c r="B74" s="65"/>
      <c r="C74" s="65"/>
      <c r="D74" s="65"/>
      <c r="E74" s="65"/>
      <c r="F74" s="10">
        <f>F71/F73</f>
        <v>4.3155646918714637E-4</v>
      </c>
      <c r="G74" s="60"/>
      <c r="H74" s="60"/>
      <c r="I74" s="60"/>
      <c r="J74" s="10">
        <f>J71/J73</f>
        <v>1.2550100800087182E-3</v>
      </c>
      <c r="K74" s="65"/>
      <c r="L74" s="65"/>
      <c r="M74" s="60"/>
      <c r="N74" s="10">
        <f>N71/N73</f>
        <v>3.6754104791621293E-3</v>
      </c>
      <c r="O74" s="84"/>
      <c r="P74" s="49">
        <f t="shared" ref="P74" si="85">P71/P73</f>
        <v>7.0822113079496273E-4</v>
      </c>
      <c r="Q74" s="54"/>
      <c r="R74" s="49">
        <f>R71/R73</f>
        <v>1.2140403494157624E-3</v>
      </c>
      <c r="S74" s="49">
        <f>S71/S73</f>
        <v>8.197122871361637E-5</v>
      </c>
      <c r="T74" s="49">
        <f>T71/T73</f>
        <v>8.0984390641973634E-4</v>
      </c>
      <c r="U74" s="30">
        <f t="shared" ref="U74:AB74" si="86">U71/U73</f>
        <v>3.8093645190912136E-4</v>
      </c>
      <c r="V74" s="30">
        <f t="shared" si="86"/>
        <v>-5.6958516641826312E-4</v>
      </c>
      <c r="W74" s="30">
        <f t="shared" si="86"/>
        <v>-2.7405057131646074E-4</v>
      </c>
      <c r="X74" s="30">
        <f t="shared" si="86"/>
        <v>1.0022167407027386E-4</v>
      </c>
      <c r="Y74" s="30">
        <f t="shared" si="86"/>
        <v>2.3382711924825115E-4</v>
      </c>
      <c r="Z74" s="30">
        <f t="shared" si="86"/>
        <v>6.9355748670128163E-4</v>
      </c>
      <c r="AA74" s="30">
        <f t="shared" si="86"/>
        <v>1.9884650468971987E-4</v>
      </c>
      <c r="AB74" s="30">
        <f t="shared" si="86"/>
        <v>1.3378316865097339E-3</v>
      </c>
    </row>
    <row r="76" spans="1:28" x14ac:dyDescent="0.25">
      <c r="A76" s="1" t="s">
        <v>8</v>
      </c>
      <c r="B76" s="1"/>
      <c r="C76" s="1"/>
      <c r="D76" s="1"/>
      <c r="E76" s="1"/>
    </row>
    <row r="77" spans="1:28" x14ac:dyDescent="0.25">
      <c r="A77" t="s">
        <v>64</v>
      </c>
      <c r="B77" s="34">
        <v>91431.628769999996</v>
      </c>
      <c r="C77" s="54"/>
      <c r="D77" s="34">
        <v>135513</v>
      </c>
      <c r="E77" s="34">
        <v>169471</v>
      </c>
      <c r="F77" s="3">
        <v>144845.23877</v>
      </c>
      <c r="G77" s="3">
        <v>171074.06599999999</v>
      </c>
      <c r="H77" s="3">
        <v>123678.73277</v>
      </c>
      <c r="I77" s="3">
        <v>25666.532770000002</v>
      </c>
      <c r="J77" s="3">
        <v>105256.607</v>
      </c>
      <c r="K77" s="3">
        <v>97762</v>
      </c>
      <c r="L77" s="3">
        <v>7037</v>
      </c>
      <c r="M77" s="3">
        <v>15713</v>
      </c>
      <c r="N77" s="3">
        <v>74475</v>
      </c>
      <c r="O77" s="3"/>
      <c r="P77" s="3">
        <v>91431.628769999996</v>
      </c>
      <c r="Q77" s="54"/>
      <c r="R77" s="3">
        <v>135513</v>
      </c>
      <c r="S77" s="3">
        <v>169471</v>
      </c>
      <c r="T77" s="3">
        <v>144845.23877</v>
      </c>
      <c r="U77" s="3">
        <v>171074.06599999999</v>
      </c>
      <c r="V77" s="3">
        <v>123678.73277</v>
      </c>
      <c r="W77" s="3">
        <v>25666.532770000002</v>
      </c>
      <c r="X77" s="3">
        <v>105256.607</v>
      </c>
      <c r="Y77" s="3">
        <v>97762</v>
      </c>
      <c r="Z77" s="3">
        <v>7037</v>
      </c>
      <c r="AA77" s="3">
        <v>15713</v>
      </c>
      <c r="AB77" s="3">
        <v>74475</v>
      </c>
    </row>
    <row r="78" spans="1:28" x14ac:dyDescent="0.25">
      <c r="A78" t="s">
        <v>65</v>
      </c>
      <c r="B78" s="3">
        <v>8064.75677</v>
      </c>
      <c r="C78" s="54"/>
      <c r="D78" s="3">
        <v>10835.014999999999</v>
      </c>
      <c r="E78" s="3">
        <v>21192</v>
      </c>
      <c r="F78" s="3">
        <v>21317</v>
      </c>
      <c r="G78" s="3">
        <v>10691.632</v>
      </c>
      <c r="H78" s="3">
        <v>678.73276999999996</v>
      </c>
      <c r="I78" s="3">
        <v>666.53300000000002</v>
      </c>
      <c r="J78" s="3">
        <v>632.91600000000005</v>
      </c>
      <c r="K78" s="3">
        <v>4219</v>
      </c>
      <c r="L78" s="3">
        <v>4219</v>
      </c>
      <c r="M78" s="3">
        <v>4187</v>
      </c>
      <c r="N78" s="3">
        <v>10996</v>
      </c>
      <c r="O78" s="3"/>
      <c r="P78" s="3">
        <v>8064.75677</v>
      </c>
      <c r="Q78" s="54"/>
      <c r="R78" s="3">
        <v>10835.014999999999</v>
      </c>
      <c r="S78" s="3">
        <v>21192</v>
      </c>
      <c r="T78" s="3">
        <v>21105.238999999998</v>
      </c>
      <c r="U78" s="3">
        <v>10691.632</v>
      </c>
      <c r="V78" s="3">
        <v>678.73276999999996</v>
      </c>
      <c r="W78" s="3">
        <v>666.53300000000002</v>
      </c>
      <c r="X78" s="3">
        <v>632.91600000000005</v>
      </c>
      <c r="Y78" s="3">
        <v>4219</v>
      </c>
      <c r="Z78" s="3">
        <v>4219</v>
      </c>
      <c r="AA78" s="3">
        <v>4187</v>
      </c>
      <c r="AB78" s="3">
        <v>10996</v>
      </c>
    </row>
    <row r="79" spans="1:28" x14ac:dyDescent="0.25">
      <c r="A79" t="s">
        <v>66</v>
      </c>
      <c r="B79" s="3">
        <f>B77-B78</f>
        <v>83366.872000000003</v>
      </c>
      <c r="C79" s="54"/>
      <c r="D79" s="3">
        <f>D77-D78</f>
        <v>124677.985</v>
      </c>
      <c r="E79" s="3">
        <f>E77-E78</f>
        <v>148279</v>
      </c>
      <c r="F79" s="3">
        <f>F77-F78</f>
        <v>123528.23877</v>
      </c>
      <c r="G79" s="3">
        <f t="shared" ref="G79:L79" si="87">G77-G78</f>
        <v>160382.43399999998</v>
      </c>
      <c r="H79" s="3">
        <f t="shared" si="87"/>
        <v>123000</v>
      </c>
      <c r="I79" s="3">
        <f t="shared" si="87"/>
        <v>24999.999770000002</v>
      </c>
      <c r="J79" s="3">
        <f t="shared" si="87"/>
        <v>104623.69100000001</v>
      </c>
      <c r="K79" s="3">
        <f t="shared" si="87"/>
        <v>93543</v>
      </c>
      <c r="L79" s="3">
        <f t="shared" si="87"/>
        <v>2818</v>
      </c>
      <c r="M79" s="3">
        <f t="shared" ref="M79:N79" si="88">M77-M78</f>
        <v>11526</v>
      </c>
      <c r="N79" s="3">
        <f t="shared" si="88"/>
        <v>63479</v>
      </c>
      <c r="O79" s="3"/>
      <c r="P79" s="3">
        <f>P77-P78</f>
        <v>83366.872000000003</v>
      </c>
      <c r="Q79" s="54"/>
      <c r="R79" s="3">
        <f>R77-R78</f>
        <v>124677.985</v>
      </c>
      <c r="S79" s="3">
        <f>S77-S78</f>
        <v>148279</v>
      </c>
      <c r="T79" s="3">
        <f>T77-T78</f>
        <v>123739.99976999999</v>
      </c>
      <c r="U79" s="3">
        <f t="shared" ref="U79" si="89">U77-U78</f>
        <v>160382.43399999998</v>
      </c>
      <c r="V79" s="3">
        <f t="shared" ref="V79" si="90">V77-V78</f>
        <v>123000</v>
      </c>
      <c r="W79" s="3">
        <f t="shared" ref="W79:AB79" si="91">W77-W78</f>
        <v>24999.999770000002</v>
      </c>
      <c r="X79" s="3">
        <f t="shared" si="91"/>
        <v>104623.69100000001</v>
      </c>
      <c r="Y79" s="3">
        <f t="shared" si="91"/>
        <v>93543</v>
      </c>
      <c r="Z79" s="3">
        <f t="shared" si="91"/>
        <v>2818</v>
      </c>
      <c r="AA79" s="3">
        <f t="shared" si="91"/>
        <v>11526</v>
      </c>
      <c r="AB79" s="3">
        <f t="shared" si="91"/>
        <v>63479</v>
      </c>
    </row>
    <row r="80" spans="1:28" x14ac:dyDescent="0.25">
      <c r="A80" t="s">
        <v>46</v>
      </c>
      <c r="B80" s="3">
        <v>13191477.600840002</v>
      </c>
      <c r="C80" s="54"/>
      <c r="D80" s="3">
        <v>12539267.794380002</v>
      </c>
      <c r="E80" s="3">
        <v>12064527.30549</v>
      </c>
      <c r="F80" s="3">
        <v>11652698.24437</v>
      </c>
      <c r="G80" s="3">
        <v>10689622.833270002</v>
      </c>
      <c r="H80" s="3">
        <v>10489261.202550001</v>
      </c>
      <c r="I80" s="3">
        <v>10065877.572609998</v>
      </c>
      <c r="J80" s="3">
        <v>9447670.1434599999</v>
      </c>
      <c r="K80" s="3">
        <v>9869508.6799800005</v>
      </c>
      <c r="L80" s="3">
        <v>9543982.2555199992</v>
      </c>
      <c r="M80" s="3">
        <v>8973437.0590400007</v>
      </c>
      <c r="N80" s="3">
        <v>8753760.9397400003</v>
      </c>
      <c r="O80" s="3"/>
      <c r="P80" s="3">
        <v>13191477.600840002</v>
      </c>
      <c r="Q80" s="54"/>
      <c r="R80" s="3">
        <v>12539267.794380002</v>
      </c>
      <c r="S80" s="3">
        <v>12064527.30549</v>
      </c>
      <c r="T80" s="3">
        <v>11652698.24437</v>
      </c>
      <c r="U80" s="3">
        <v>10689622.833270002</v>
      </c>
      <c r="V80" s="3">
        <v>10489261.202550001</v>
      </c>
      <c r="W80" s="3">
        <v>10065877.572609998</v>
      </c>
      <c r="X80" s="3">
        <v>9447670.1434599999</v>
      </c>
      <c r="Y80" s="3">
        <v>9869508.6799800005</v>
      </c>
      <c r="Z80" s="3">
        <v>9543982.2555199992</v>
      </c>
      <c r="AA80" s="3">
        <v>8973437.0590400007</v>
      </c>
      <c r="AB80" s="3">
        <v>8753760.9397400003</v>
      </c>
    </row>
    <row r="81" spans="1:28" x14ac:dyDescent="0.25">
      <c r="A81" t="s">
        <v>67</v>
      </c>
      <c r="B81" s="3">
        <v>54151.192000000003</v>
      </c>
      <c r="C81" s="54"/>
      <c r="D81" s="3">
        <v>48739.127119999997</v>
      </c>
      <c r="E81" s="3">
        <v>57478.513559999999</v>
      </c>
      <c r="F81" s="3">
        <v>55494.823400000001</v>
      </c>
      <c r="G81" s="3">
        <v>48060.285400000001</v>
      </c>
      <c r="H81" s="3">
        <v>74361.426900000006</v>
      </c>
      <c r="I81" s="3">
        <v>79544.75589</v>
      </c>
      <c r="J81" s="3">
        <v>85553.47464</v>
      </c>
      <c r="K81" s="3">
        <v>84585.62831</v>
      </c>
      <c r="L81" s="3">
        <v>82315.927979999993</v>
      </c>
      <c r="M81" s="3">
        <v>86585.691579999999</v>
      </c>
      <c r="N81" s="3">
        <v>84849.761899999998</v>
      </c>
      <c r="O81" s="3"/>
      <c r="P81" s="3">
        <v>54151.192000000003</v>
      </c>
      <c r="Q81" s="54"/>
      <c r="R81" s="3">
        <v>48739.127119999997</v>
      </c>
      <c r="S81" s="3">
        <v>57478.513559999999</v>
      </c>
      <c r="T81" s="3">
        <v>55494.823400000001</v>
      </c>
      <c r="U81" s="3">
        <v>48060.285400000001</v>
      </c>
      <c r="V81" s="3">
        <v>74361.426900000006</v>
      </c>
      <c r="W81" s="3">
        <v>79544.75589</v>
      </c>
      <c r="X81" s="3">
        <v>85553.47464</v>
      </c>
      <c r="Y81" s="3">
        <v>84585.62831</v>
      </c>
      <c r="Z81" s="3">
        <v>82315.927979999993</v>
      </c>
      <c r="AA81" s="3">
        <v>86585.691579999999</v>
      </c>
      <c r="AB81" s="3">
        <v>84849.761899999998</v>
      </c>
    </row>
    <row r="82" spans="1:28" x14ac:dyDescent="0.25">
      <c r="A82" s="5" t="s">
        <v>68</v>
      </c>
      <c r="B82" s="6">
        <f>B80+B81</f>
        <v>13245628.792840002</v>
      </c>
      <c r="C82" s="87"/>
      <c r="D82" s="6">
        <f>D80+D81</f>
        <v>12588006.921500001</v>
      </c>
      <c r="E82" s="6">
        <f>E80+E81</f>
        <v>12122005.819050001</v>
      </c>
      <c r="F82" s="6">
        <f>F80+F81</f>
        <v>11708193.067770001</v>
      </c>
      <c r="G82" s="6">
        <f t="shared" ref="G82:N82" si="92">G80+G81</f>
        <v>10737683.118670002</v>
      </c>
      <c r="H82" s="6">
        <f t="shared" si="92"/>
        <v>10563622.629450001</v>
      </c>
      <c r="I82" s="6">
        <f t="shared" si="92"/>
        <v>10145422.328499999</v>
      </c>
      <c r="J82" s="6">
        <f t="shared" si="92"/>
        <v>9533223.6181000005</v>
      </c>
      <c r="K82" s="38">
        <f t="shared" si="92"/>
        <v>9954094.308290001</v>
      </c>
      <c r="L82" s="38">
        <f t="shared" si="92"/>
        <v>9626298.1834999993</v>
      </c>
      <c r="M82" s="38">
        <f t="shared" si="92"/>
        <v>9060022.7506200001</v>
      </c>
      <c r="N82" s="38">
        <f t="shared" si="92"/>
        <v>8838610.7016400006</v>
      </c>
      <c r="O82" s="38"/>
      <c r="P82" s="38">
        <f>P80+P81</f>
        <v>13245628.792840002</v>
      </c>
      <c r="Q82" s="54"/>
      <c r="R82" s="3">
        <f>R80+R81</f>
        <v>12588006.921500001</v>
      </c>
      <c r="S82" s="3">
        <f>S80+S81</f>
        <v>12122005.819050001</v>
      </c>
      <c r="T82" s="6">
        <f>T80+T81</f>
        <v>11708193.067770001</v>
      </c>
      <c r="U82" s="6">
        <f t="shared" ref="U82" si="93">U80+U81</f>
        <v>10737683.118670002</v>
      </c>
      <c r="V82" s="6">
        <f t="shared" ref="V82" si="94">V80+V81</f>
        <v>10563622.629450001</v>
      </c>
      <c r="W82" s="6">
        <f t="shared" ref="W82:AB82" si="95">W80+W81</f>
        <v>10145422.328499999</v>
      </c>
      <c r="X82" s="6">
        <f t="shared" si="95"/>
        <v>9533223.6181000005</v>
      </c>
      <c r="Y82" s="6">
        <f>Y80+Y81</f>
        <v>9954094.308290001</v>
      </c>
      <c r="Z82" s="6">
        <f t="shared" si="95"/>
        <v>9626298.1834999993</v>
      </c>
      <c r="AA82" s="6">
        <f t="shared" si="95"/>
        <v>9060022.7506200001</v>
      </c>
      <c r="AB82" s="6">
        <f t="shared" si="95"/>
        <v>8838610.7016400006</v>
      </c>
    </row>
    <row r="83" spans="1:28" x14ac:dyDescent="0.25">
      <c r="A83" s="7" t="s">
        <v>8</v>
      </c>
      <c r="B83" s="10">
        <f>B79/B82</f>
        <v>6.2939157743167641E-3</v>
      </c>
      <c r="C83" s="60"/>
      <c r="D83" s="10">
        <f>D79/D82</f>
        <v>9.9045055962793532E-3</v>
      </c>
      <c r="E83" s="10">
        <f>E79/E82</f>
        <v>1.2232216533585248E-2</v>
      </c>
      <c r="F83" s="10">
        <f>F79/F82</f>
        <v>1.0550580952584836E-2</v>
      </c>
      <c r="G83" s="10">
        <f t="shared" ref="G83:N83" si="96">G79/G82</f>
        <v>1.4936409673064125E-2</v>
      </c>
      <c r="H83" s="10">
        <f t="shared" si="96"/>
        <v>1.1643732866516081E-2</v>
      </c>
      <c r="I83" s="10">
        <f t="shared" si="96"/>
        <v>2.4641655083959676E-3</v>
      </c>
      <c r="J83" s="49">
        <f t="shared" si="96"/>
        <v>1.0974639344592634E-2</v>
      </c>
      <c r="K83" s="49">
        <f t="shared" si="96"/>
        <v>9.3974395964980181E-3</v>
      </c>
      <c r="L83" s="49">
        <f t="shared" si="96"/>
        <v>2.9273973715360343E-4</v>
      </c>
      <c r="M83" s="49">
        <f t="shared" si="96"/>
        <v>1.2721822358791812E-3</v>
      </c>
      <c r="N83" s="49">
        <f t="shared" si="96"/>
        <v>7.1820110810199497E-3</v>
      </c>
      <c r="O83" s="85"/>
      <c r="P83" s="10">
        <f>P79/P82</f>
        <v>6.2939157743167641E-3</v>
      </c>
      <c r="Q83" s="89"/>
      <c r="R83" s="10">
        <f>R79/R82</f>
        <v>9.9045055962793532E-3</v>
      </c>
      <c r="S83" s="10">
        <f>S79/S82</f>
        <v>1.2232216533585248E-2</v>
      </c>
      <c r="T83" s="10">
        <f>T79/T82</f>
        <v>1.0568667518015922E-2</v>
      </c>
      <c r="U83" s="10">
        <f t="shared" ref="U83" si="97">U79/U82</f>
        <v>1.4936409673064125E-2</v>
      </c>
      <c r="V83" s="10">
        <f t="shared" ref="V83" si="98">V79/V82</f>
        <v>1.1643732866516081E-2</v>
      </c>
      <c r="W83" s="10">
        <f t="shared" ref="W83:AA83" si="99">W79/W82</f>
        <v>2.4641655083959676E-3</v>
      </c>
      <c r="X83" s="10">
        <f t="shared" si="99"/>
        <v>1.0974639344592634E-2</v>
      </c>
      <c r="Y83" s="10">
        <f t="shared" si="99"/>
        <v>9.3974395964980181E-3</v>
      </c>
      <c r="Z83" s="10">
        <f t="shared" si="99"/>
        <v>2.9273973715360343E-4</v>
      </c>
      <c r="AA83" s="10">
        <f t="shared" si="99"/>
        <v>1.2721822358791812E-3</v>
      </c>
      <c r="AB83" s="10">
        <f t="shared" ref="AB83" si="100">AB79/AB82</f>
        <v>7.1820110810199497E-3</v>
      </c>
    </row>
    <row r="85" spans="1:28" x14ac:dyDescent="0.25">
      <c r="A85" s="1" t="s">
        <v>7</v>
      </c>
      <c r="B85" s="1"/>
      <c r="C85" s="1"/>
      <c r="D85" s="1"/>
      <c r="E85" s="1"/>
    </row>
    <row r="86" spans="1:28" x14ac:dyDescent="0.25">
      <c r="A86" t="s">
        <v>69</v>
      </c>
      <c r="B86" s="3">
        <v>3880.4969999999998</v>
      </c>
      <c r="C86" s="54"/>
      <c r="D86" s="35">
        <v>3730.1309999999999</v>
      </c>
      <c r="E86" s="35">
        <v>3730.1309999999999</v>
      </c>
      <c r="F86" s="3">
        <v>3730.1309999999999</v>
      </c>
      <c r="G86" s="3">
        <v>10336.166999999999</v>
      </c>
      <c r="H86" s="3">
        <v>41287.336000000003</v>
      </c>
      <c r="I86" s="3">
        <v>78916.485000000001</v>
      </c>
      <c r="J86" s="3">
        <v>85763.687999999995</v>
      </c>
      <c r="K86" s="44">
        <v>80846</v>
      </c>
      <c r="L86" s="44">
        <v>141461</v>
      </c>
      <c r="M86" s="44">
        <v>166930</v>
      </c>
      <c r="N86" s="44">
        <v>145952</v>
      </c>
      <c r="O86" s="44"/>
      <c r="P86" s="3">
        <v>3880.4969999999998</v>
      </c>
      <c r="Q86" s="54"/>
      <c r="R86" s="3">
        <v>3730.1309999999999</v>
      </c>
      <c r="S86" s="3">
        <v>3730.1309999999999</v>
      </c>
      <c r="T86" s="3">
        <v>3730.1309999999999</v>
      </c>
      <c r="U86" s="3">
        <v>10336.166999999999</v>
      </c>
      <c r="V86" s="3">
        <v>41287.336000000003</v>
      </c>
      <c r="W86" s="3">
        <v>78916.485000000001</v>
      </c>
      <c r="X86" s="3">
        <v>85763.687999999995</v>
      </c>
      <c r="Y86" s="44">
        <v>80846</v>
      </c>
      <c r="Z86" s="44">
        <v>141461</v>
      </c>
      <c r="AA86" s="44">
        <v>166930</v>
      </c>
      <c r="AB86" s="44">
        <v>145952</v>
      </c>
    </row>
    <row r="87" spans="1:28" x14ac:dyDescent="0.25">
      <c r="A87" t="s">
        <v>70</v>
      </c>
      <c r="B87" s="3">
        <v>3880.4969999999998</v>
      </c>
      <c r="C87" s="54"/>
      <c r="D87" s="35">
        <v>3730.1309999999999</v>
      </c>
      <c r="E87" s="3">
        <v>3730.1309999999999</v>
      </c>
      <c r="F87" s="3">
        <v>3730.1309999999999</v>
      </c>
      <c r="G87" s="3">
        <v>4555.8810000000003</v>
      </c>
      <c r="H87" s="3">
        <v>41230.589999999997</v>
      </c>
      <c r="I87" s="3">
        <v>37915.199999999997</v>
      </c>
      <c r="J87" s="3">
        <v>37219.687000000005</v>
      </c>
      <c r="K87" s="44">
        <v>32665</v>
      </c>
      <c r="L87" s="44">
        <v>30402</v>
      </c>
      <c r="M87" s="44">
        <v>36669</v>
      </c>
      <c r="N87" s="44">
        <v>28154</v>
      </c>
      <c r="O87" s="44"/>
      <c r="P87" s="44">
        <v>3880.4969999999998</v>
      </c>
      <c r="Q87" s="54"/>
      <c r="R87" s="3">
        <v>3730.1309999999999</v>
      </c>
      <c r="S87" s="3">
        <v>3730.1309999999999</v>
      </c>
      <c r="T87" s="3">
        <v>3730.1309999999999</v>
      </c>
      <c r="U87" s="3">
        <v>4555.8810000000003</v>
      </c>
      <c r="V87" s="3">
        <v>41230.589999999997</v>
      </c>
      <c r="W87" s="3">
        <v>37915.199999999997</v>
      </c>
      <c r="X87" s="3">
        <v>37219.687000000005</v>
      </c>
      <c r="Y87" s="44">
        <v>32665</v>
      </c>
      <c r="Z87" s="44">
        <v>30402</v>
      </c>
      <c r="AA87" s="44">
        <v>36669</v>
      </c>
      <c r="AB87" s="44">
        <v>28154</v>
      </c>
    </row>
    <row r="88" spans="1:28" x14ac:dyDescent="0.25">
      <c r="A88" t="s">
        <v>71</v>
      </c>
      <c r="B88" s="3">
        <f>B86-B87</f>
        <v>0</v>
      </c>
      <c r="C88" s="54"/>
      <c r="D88" s="3">
        <f>D86-D87</f>
        <v>0</v>
      </c>
      <c r="E88" s="3">
        <f>E86-E87</f>
        <v>0</v>
      </c>
      <c r="F88" s="3">
        <f>F86-F87</f>
        <v>0</v>
      </c>
      <c r="G88" s="3">
        <f t="shared" ref="G88" si="101">G86-G87</f>
        <v>5780.2859999999991</v>
      </c>
      <c r="H88" s="3">
        <f t="shared" ref="H88" si="102">H86-H87</f>
        <v>56.746000000006461</v>
      </c>
      <c r="I88" s="3">
        <f t="shared" ref="I88" si="103">I86-I87</f>
        <v>41001.285000000003</v>
      </c>
      <c r="J88" s="3">
        <f t="shared" ref="J88:N88" si="104">J86-J87</f>
        <v>48544.000999999989</v>
      </c>
      <c r="K88" s="44">
        <f t="shared" si="104"/>
        <v>48181</v>
      </c>
      <c r="L88" s="44">
        <f t="shared" si="104"/>
        <v>111059</v>
      </c>
      <c r="M88" s="44">
        <f t="shared" si="104"/>
        <v>130261</v>
      </c>
      <c r="N88" s="44">
        <f t="shared" si="104"/>
        <v>117798</v>
      </c>
      <c r="O88" s="44"/>
      <c r="P88" s="44">
        <f>P86-P87</f>
        <v>0</v>
      </c>
      <c r="Q88" s="54"/>
      <c r="R88" s="3">
        <f>R86-R87</f>
        <v>0</v>
      </c>
      <c r="S88" s="3">
        <f>S86-S87</f>
        <v>0</v>
      </c>
      <c r="T88" s="3">
        <f>T86-T87</f>
        <v>0</v>
      </c>
      <c r="U88" s="3">
        <f t="shared" ref="U88" si="105">U86-U87</f>
        <v>5780.2859999999991</v>
      </c>
      <c r="V88" s="3">
        <f t="shared" ref="V88" si="106">V86-V87</f>
        <v>56.746000000006461</v>
      </c>
      <c r="W88" s="3">
        <f t="shared" ref="W88:AB88" si="107">W86-W87</f>
        <v>41001.285000000003</v>
      </c>
      <c r="X88" s="3">
        <f t="shared" si="107"/>
        <v>48544.000999999989</v>
      </c>
      <c r="Y88" s="44">
        <f t="shared" si="107"/>
        <v>48181</v>
      </c>
      <c r="Z88" s="44">
        <f t="shared" si="107"/>
        <v>111059</v>
      </c>
      <c r="AA88" s="44">
        <f t="shared" si="107"/>
        <v>130261</v>
      </c>
      <c r="AB88" s="44">
        <f t="shared" si="107"/>
        <v>117798</v>
      </c>
    </row>
    <row r="89" spans="1:28" x14ac:dyDescent="0.25">
      <c r="A89" t="s">
        <v>46</v>
      </c>
      <c r="B89" s="3">
        <v>13191477.600840002</v>
      </c>
      <c r="C89" s="54"/>
      <c r="D89" s="3">
        <v>12539267.794380002</v>
      </c>
      <c r="E89" s="3">
        <v>12064527.30549</v>
      </c>
      <c r="F89" s="3">
        <v>11652698.24437</v>
      </c>
      <c r="G89" s="3">
        <v>10689622.833270002</v>
      </c>
      <c r="H89" s="3">
        <v>10489261.202550001</v>
      </c>
      <c r="I89" s="3">
        <v>10065877.572609998</v>
      </c>
      <c r="J89" s="3">
        <v>9447670.1434599999</v>
      </c>
      <c r="K89" s="44">
        <v>9869508.6799800005</v>
      </c>
      <c r="L89" s="44">
        <v>9543982.2555199992</v>
      </c>
      <c r="M89" s="44">
        <v>8973437.0590400007</v>
      </c>
      <c r="N89" s="44">
        <v>8753760.9397400003</v>
      </c>
      <c r="O89" s="44"/>
      <c r="P89" s="44">
        <v>13191477.600840002</v>
      </c>
      <c r="Q89" s="54"/>
      <c r="R89" s="3">
        <v>12539267.794380002</v>
      </c>
      <c r="S89" s="3">
        <v>12064527.30549</v>
      </c>
      <c r="T89" s="3">
        <v>11652698.24437</v>
      </c>
      <c r="U89" s="3">
        <v>10689622.833270002</v>
      </c>
      <c r="V89" s="3">
        <v>10489261.202550001</v>
      </c>
      <c r="W89" s="3">
        <v>10065877.572609998</v>
      </c>
      <c r="X89" s="3">
        <v>9447670.1434599999</v>
      </c>
      <c r="Y89" s="3">
        <v>9869508.6799800005</v>
      </c>
      <c r="Z89" s="3">
        <v>9543982.2555199992</v>
      </c>
      <c r="AA89" s="3">
        <v>8973437.0590400007</v>
      </c>
      <c r="AB89" s="3">
        <v>8753760.9397400003</v>
      </c>
    </row>
    <row r="90" spans="1:28" x14ac:dyDescent="0.25">
      <c r="A90" t="s">
        <v>67</v>
      </c>
      <c r="B90" s="27">
        <v>48739.127119999997</v>
      </c>
      <c r="C90" s="54"/>
      <c r="D90" s="27">
        <v>48739.127119999997</v>
      </c>
      <c r="E90" s="27">
        <f>E81</f>
        <v>57478.513559999999</v>
      </c>
      <c r="F90" s="3">
        <v>55494.823400000001</v>
      </c>
      <c r="G90" s="3">
        <v>48060.285400000001</v>
      </c>
      <c r="H90" s="3">
        <v>74361.426900000006</v>
      </c>
      <c r="I90" s="3">
        <v>79544.75589</v>
      </c>
      <c r="J90" s="3">
        <v>85553.47464</v>
      </c>
      <c r="K90" s="44">
        <v>84585.62831</v>
      </c>
      <c r="L90" s="44">
        <v>82315.927979999993</v>
      </c>
      <c r="M90" s="44">
        <v>86585.691579999999</v>
      </c>
      <c r="N90" s="44">
        <v>84849.761899999998</v>
      </c>
      <c r="O90" s="44"/>
      <c r="P90" s="44">
        <v>48739.127119999997</v>
      </c>
      <c r="Q90" s="54"/>
      <c r="R90" s="3">
        <v>48739.127119999997</v>
      </c>
      <c r="S90" s="3">
        <v>57478.513559999999</v>
      </c>
      <c r="T90" s="3">
        <v>55494.823400000001</v>
      </c>
      <c r="U90" s="3">
        <v>48060.285400000001</v>
      </c>
      <c r="V90" s="3">
        <v>74361.426900000006</v>
      </c>
      <c r="W90" s="3">
        <v>79544.75589</v>
      </c>
      <c r="X90" s="3">
        <v>85553.47464</v>
      </c>
      <c r="Y90" s="3">
        <v>84585.62831</v>
      </c>
      <c r="Z90" s="3">
        <v>82315.927979999993</v>
      </c>
      <c r="AA90" s="3">
        <v>86585.691579999999</v>
      </c>
      <c r="AB90" s="3">
        <v>84849.761899999998</v>
      </c>
    </row>
    <row r="91" spans="1:28" x14ac:dyDescent="0.25">
      <c r="A91" s="5" t="s">
        <v>68</v>
      </c>
      <c r="B91" s="6">
        <f>B89+B90</f>
        <v>13240216.727960002</v>
      </c>
      <c r="C91" s="87"/>
      <c r="D91" s="6">
        <f>D89+D90</f>
        <v>12588006.921500001</v>
      </c>
      <c r="E91" s="6">
        <f>E89+E90</f>
        <v>12122005.819050001</v>
      </c>
      <c r="F91" s="6">
        <f>F89+F90</f>
        <v>11708193.067770001</v>
      </c>
      <c r="G91" s="6">
        <f t="shared" ref="G91" si="108">G89+G90</f>
        <v>10737683.118670002</v>
      </c>
      <c r="H91" s="6">
        <f t="shared" ref="H91" si="109">H89+H90</f>
        <v>10563622.629450001</v>
      </c>
      <c r="I91" s="6">
        <f t="shared" ref="I91:N91" si="110">I89+I90</f>
        <v>10145422.328499999</v>
      </c>
      <c r="J91" s="6">
        <f t="shared" si="110"/>
        <v>9533223.6181000005</v>
      </c>
      <c r="K91" s="69">
        <f t="shared" si="110"/>
        <v>9954094.308290001</v>
      </c>
      <c r="L91" s="69">
        <f t="shared" si="110"/>
        <v>9626298.1834999993</v>
      </c>
      <c r="M91" s="69">
        <f t="shared" si="110"/>
        <v>9060022.7506200001</v>
      </c>
      <c r="N91" s="69">
        <f t="shared" si="110"/>
        <v>8838610.7016400006</v>
      </c>
      <c r="O91" s="41"/>
      <c r="P91" s="41">
        <f>P89+P90</f>
        <v>13240216.727960002</v>
      </c>
      <c r="Q91" s="54"/>
      <c r="R91" s="6">
        <f>R89+R90</f>
        <v>12588006.921500001</v>
      </c>
      <c r="S91" s="6">
        <f>S89+S90</f>
        <v>12122005.819050001</v>
      </c>
      <c r="T91" s="6">
        <f>T89+T90</f>
        <v>11708193.067770001</v>
      </c>
      <c r="U91" s="6">
        <f t="shared" ref="U91" si="111">U89+U90</f>
        <v>10737683.118670002</v>
      </c>
      <c r="V91" s="6">
        <f t="shared" ref="V91" si="112">V89+V90</f>
        <v>10563622.629450001</v>
      </c>
      <c r="W91" s="6">
        <f t="shared" ref="W91:AB91" si="113">W89+W90</f>
        <v>10145422.328499999</v>
      </c>
      <c r="X91" s="6">
        <f t="shared" si="113"/>
        <v>9533223.6181000005</v>
      </c>
      <c r="Y91" s="6">
        <f t="shared" si="113"/>
        <v>9954094.308290001</v>
      </c>
      <c r="Z91" s="6">
        <f t="shared" si="113"/>
        <v>9626298.1834999993</v>
      </c>
      <c r="AA91" s="6">
        <f t="shared" si="113"/>
        <v>9060022.7506200001</v>
      </c>
      <c r="AB91" s="6">
        <f t="shared" si="113"/>
        <v>8838610.7016400006</v>
      </c>
    </row>
    <row r="92" spans="1:28" x14ac:dyDescent="0.25">
      <c r="A92" s="7" t="s">
        <v>7</v>
      </c>
      <c r="B92" s="10">
        <f>B88/B91</f>
        <v>0</v>
      </c>
      <c r="C92" s="60"/>
      <c r="D92" s="10">
        <f>D88/D91</f>
        <v>0</v>
      </c>
      <c r="E92" s="10">
        <f>E88/E91</f>
        <v>0</v>
      </c>
      <c r="F92" s="10">
        <f>F88/F91</f>
        <v>0</v>
      </c>
      <c r="G92" s="10">
        <f t="shared" ref="G92" si="114">G88/G91</f>
        <v>5.3831780432685747E-4</v>
      </c>
      <c r="H92" s="10">
        <f t="shared" ref="H92" si="115">H88/H91</f>
        <v>5.3718314247430635E-6</v>
      </c>
      <c r="I92" s="10">
        <f t="shared" ref="I92" si="116">I88/I91</f>
        <v>4.0413581290570134E-3</v>
      </c>
      <c r="J92" s="49">
        <f t="shared" ref="J92:M92" si="117">J88/J91</f>
        <v>5.0920866796655452E-3</v>
      </c>
      <c r="K92" s="49">
        <f t="shared" si="117"/>
        <v>4.8403198229570463E-3</v>
      </c>
      <c r="L92" s="49">
        <f t="shared" si="117"/>
        <v>1.1537041330213643E-2</v>
      </c>
      <c r="M92" s="49">
        <f t="shared" si="117"/>
        <v>1.4377557715413674E-2</v>
      </c>
      <c r="N92" s="49">
        <f t="shared" ref="N92" si="118">N88/N91</f>
        <v>1.3327660191905797E-2</v>
      </c>
      <c r="O92" s="85"/>
      <c r="P92" s="10">
        <f>P88/P91</f>
        <v>0</v>
      </c>
      <c r="Q92" s="89"/>
      <c r="R92" s="10">
        <f>R88/R91</f>
        <v>0</v>
      </c>
      <c r="S92" s="10">
        <f>S88/S91</f>
        <v>0</v>
      </c>
      <c r="T92" s="10">
        <f>T88/T91</f>
        <v>0</v>
      </c>
      <c r="U92" s="10">
        <f t="shared" ref="U92" si="119">U88/U91</f>
        <v>5.3831780432685747E-4</v>
      </c>
      <c r="V92" s="10">
        <f t="shared" ref="V92" si="120">V88/V91</f>
        <v>5.3718314247430635E-6</v>
      </c>
      <c r="W92" s="10">
        <f t="shared" ref="W92:AB92" si="121">W88/W91</f>
        <v>4.0413581290570134E-3</v>
      </c>
      <c r="X92" s="49">
        <f t="shared" si="121"/>
        <v>5.0920866796655452E-3</v>
      </c>
      <c r="Y92" s="49">
        <f t="shared" si="121"/>
        <v>4.8403198229570463E-3</v>
      </c>
      <c r="Z92" s="49">
        <f t="shared" si="121"/>
        <v>1.1537041330213643E-2</v>
      </c>
      <c r="AA92" s="49">
        <f t="shared" si="121"/>
        <v>1.4377557715413674E-2</v>
      </c>
      <c r="AB92" s="49">
        <f t="shared" si="121"/>
        <v>1.3327660191905797E-2</v>
      </c>
    </row>
    <row r="94" spans="1:28" x14ac:dyDescent="0.25">
      <c r="A94" s="1" t="s">
        <v>12</v>
      </c>
      <c r="B94" s="1"/>
      <c r="C94" s="1"/>
      <c r="D94" s="1"/>
      <c r="E94" s="1"/>
    </row>
    <row r="95" spans="1:28" x14ac:dyDescent="0.25">
      <c r="A95" t="s">
        <v>35</v>
      </c>
      <c r="B95" s="44">
        <f t="shared" ref="B95:N95" si="122">B8</f>
        <v>276437.58005249995</v>
      </c>
      <c r="C95" s="3">
        <f t="shared" si="122"/>
        <v>182968.11213749999</v>
      </c>
      <c r="D95" s="3">
        <f t="shared" si="122"/>
        <v>182968.11213749999</v>
      </c>
      <c r="E95" s="3">
        <f t="shared" si="122"/>
        <v>97689.25</v>
      </c>
      <c r="F95" s="3">
        <f t="shared" si="122"/>
        <v>325450.24386999983</v>
      </c>
      <c r="G95" s="3">
        <f t="shared" si="122"/>
        <v>245824.66339750009</v>
      </c>
      <c r="H95" s="3">
        <f t="shared" si="122"/>
        <v>170981.80827499999</v>
      </c>
      <c r="I95" s="3">
        <f t="shared" si="122"/>
        <v>78770.526995000037</v>
      </c>
      <c r="J95" s="3">
        <f t="shared" si="122"/>
        <v>309241.17059250019</v>
      </c>
      <c r="K95" s="3">
        <f t="shared" si="122"/>
        <v>236429.5</v>
      </c>
      <c r="L95" s="3">
        <f t="shared" si="122"/>
        <v>150909</v>
      </c>
      <c r="M95" s="3">
        <f t="shared" si="122"/>
        <v>76387.25</v>
      </c>
      <c r="N95" s="3">
        <f t="shared" si="122"/>
        <v>239133.66</v>
      </c>
      <c r="O95" s="3"/>
      <c r="P95" s="44">
        <f t="shared" ref="P95" si="123">P8</f>
        <v>93469.75</v>
      </c>
      <c r="Q95" s="3">
        <f t="shared" ref="Q95:W95" si="124">Q8</f>
        <v>85278.79277749997</v>
      </c>
      <c r="R95" s="3">
        <f t="shared" si="124"/>
        <v>85278.79277749997</v>
      </c>
      <c r="S95" s="3">
        <f t="shared" si="124"/>
        <v>97689.25</v>
      </c>
      <c r="T95" s="3">
        <f t="shared" si="124"/>
        <v>79625.5804724997</v>
      </c>
      <c r="U95" s="3">
        <f t="shared" si="124"/>
        <v>74842.855122500114</v>
      </c>
      <c r="V95" s="3">
        <f t="shared" si="124"/>
        <v>92211.281279999937</v>
      </c>
      <c r="W95" s="3">
        <f t="shared" si="124"/>
        <v>78770.526995000037</v>
      </c>
      <c r="X95" s="3">
        <f t="shared" ref="X95:AB95" si="125">X8</f>
        <v>72811.901365000303</v>
      </c>
      <c r="Y95" s="3">
        <f t="shared" si="125"/>
        <v>85520.5</v>
      </c>
      <c r="Z95" s="3">
        <f t="shared" si="125"/>
        <v>74521.756582500049</v>
      </c>
      <c r="AA95" s="38">
        <f t="shared" si="125"/>
        <v>76387.19364750004</v>
      </c>
      <c r="AB95" s="38">
        <f t="shared" si="125"/>
        <v>64997.758495000482</v>
      </c>
    </row>
    <row r="96" spans="1:28" x14ac:dyDescent="0.25">
      <c r="A96" s="5" t="s">
        <v>72</v>
      </c>
      <c r="B96" s="44">
        <v>69851730</v>
      </c>
      <c r="C96" s="3">
        <v>58619688</v>
      </c>
      <c r="D96" s="3">
        <v>69430498</v>
      </c>
      <c r="E96" s="3">
        <v>58619688</v>
      </c>
      <c r="F96" s="6">
        <v>58619688</v>
      </c>
      <c r="G96" s="6">
        <v>58619688</v>
      </c>
      <c r="H96" s="6">
        <v>58619688</v>
      </c>
      <c r="I96" s="6">
        <v>58619688</v>
      </c>
      <c r="J96" s="6">
        <v>58619688</v>
      </c>
      <c r="K96" s="38">
        <v>58619688</v>
      </c>
      <c r="L96" s="38">
        <v>58619688</v>
      </c>
      <c r="M96" s="38">
        <v>58619688</v>
      </c>
      <c r="N96" s="38">
        <v>58619688</v>
      </c>
      <c r="O96" s="38"/>
      <c r="P96" s="44">
        <v>69851730</v>
      </c>
      <c r="Q96" s="3">
        <v>58619688</v>
      </c>
      <c r="R96" s="3">
        <v>69430498</v>
      </c>
      <c r="S96" s="3">
        <v>58619688</v>
      </c>
      <c r="T96" s="6">
        <v>58619688</v>
      </c>
      <c r="U96" s="6">
        <v>58619688</v>
      </c>
      <c r="V96" s="6">
        <v>58619688</v>
      </c>
      <c r="W96" s="6">
        <v>58619688</v>
      </c>
      <c r="X96" s="6">
        <v>58619688</v>
      </c>
      <c r="Y96" s="6">
        <v>58619688</v>
      </c>
      <c r="Z96" s="6">
        <v>58619688</v>
      </c>
      <c r="AA96" s="6">
        <v>58619688</v>
      </c>
      <c r="AB96" s="6">
        <v>58619688</v>
      </c>
    </row>
    <row r="97" spans="1:28" x14ac:dyDescent="0.25">
      <c r="A97" s="7" t="s">
        <v>73</v>
      </c>
      <c r="B97" s="43">
        <f t="shared" ref="B97:D97" si="126">B95*1000/B96</f>
        <v>3.9574908173713084</v>
      </c>
      <c r="C97" s="43">
        <f t="shared" si="126"/>
        <v>3.1212740698568711</v>
      </c>
      <c r="D97" s="17">
        <f t="shared" si="126"/>
        <v>2.6352700529024</v>
      </c>
      <c r="E97" s="17">
        <f>E95*1000/E96</f>
        <v>1.6664921519200171</v>
      </c>
      <c r="F97" s="17">
        <f>F95*1000/F96</f>
        <v>5.5518931433070717</v>
      </c>
      <c r="G97" s="17">
        <f t="shared" ref="G97:N97" si="127">G95*1000/G96</f>
        <v>4.1935512075311641</v>
      </c>
      <c r="H97" s="17">
        <f t="shared" si="127"/>
        <v>2.9167983336076433</v>
      </c>
      <c r="I97" s="17">
        <f t="shared" si="127"/>
        <v>1.343755480155405</v>
      </c>
      <c r="J97" s="43">
        <f t="shared" si="127"/>
        <v>5.2753806979064821</v>
      </c>
      <c r="K97" s="43">
        <f t="shared" si="127"/>
        <v>4.0332780345060861</v>
      </c>
      <c r="L97" s="43">
        <f t="shared" si="127"/>
        <v>2.5743739884797749</v>
      </c>
      <c r="M97" s="43">
        <f t="shared" si="127"/>
        <v>1.3030988837743387</v>
      </c>
      <c r="N97" s="43">
        <f t="shared" si="127"/>
        <v>4.0794086109772536</v>
      </c>
      <c r="O97" s="86"/>
      <c r="P97" s="43">
        <f t="shared" ref="P97" si="128">P95*1000/P96</f>
        <v>1.3381164646888488</v>
      </c>
      <c r="Q97" s="43">
        <f t="shared" ref="Q97:R97" si="129">Q95*1000/Q96</f>
        <v>1.4547807347166362</v>
      </c>
      <c r="R97" s="43">
        <f t="shared" si="129"/>
        <v>1.2282612862362008</v>
      </c>
      <c r="S97" s="43">
        <f>S95*1000/S96</f>
        <v>1.6664921519200171</v>
      </c>
      <c r="T97" s="43">
        <f>T95*1000/T96</f>
        <v>1.3583419357759068</v>
      </c>
      <c r="U97" s="43">
        <f t="shared" ref="U97:AB97" si="130">U95*1000/U96</f>
        <v>1.2767528739235205</v>
      </c>
      <c r="V97" s="43">
        <f t="shared" si="130"/>
        <v>1.5730428534522385</v>
      </c>
      <c r="W97" s="43">
        <f t="shared" si="130"/>
        <v>1.343755480155405</v>
      </c>
      <c r="X97" s="43">
        <f t="shared" si="130"/>
        <v>1.2421066001750181</v>
      </c>
      <c r="Y97" s="43">
        <f t="shared" si="130"/>
        <v>1.4589040460263112</v>
      </c>
      <c r="Z97" s="43">
        <f t="shared" si="130"/>
        <v>1.2712752169970618</v>
      </c>
      <c r="AA97" s="43">
        <f t="shared" si="130"/>
        <v>1.3030979224505603</v>
      </c>
      <c r="AB97" s="43">
        <f t="shared" si="130"/>
        <v>1.1088042381767791</v>
      </c>
    </row>
    <row r="99" spans="1:28" x14ac:dyDescent="0.25">
      <c r="A99" s="1" t="s">
        <v>13</v>
      </c>
      <c r="B99" s="1"/>
      <c r="C99" s="1"/>
      <c r="D99" s="1"/>
      <c r="E99" s="1"/>
    </row>
    <row r="100" spans="1:28" x14ac:dyDescent="0.25">
      <c r="A100" t="s">
        <v>36</v>
      </c>
      <c r="B100" s="44">
        <f>B9</f>
        <v>3145283.6383599997</v>
      </c>
      <c r="C100" s="27">
        <f>C9</f>
        <v>2688974.8502000002</v>
      </c>
      <c r="D100" s="3">
        <f>D9</f>
        <v>3075524.8202</v>
      </c>
      <c r="E100" s="3">
        <v>2605544.12629</v>
      </c>
      <c r="F100" s="3">
        <v>2507807.1124900002</v>
      </c>
      <c r="G100" s="3">
        <v>2428112.0311200004</v>
      </c>
      <c r="H100" s="3">
        <v>2353115.6329399999</v>
      </c>
      <c r="I100" s="3">
        <v>2110841.7356900005</v>
      </c>
      <c r="J100" s="3">
        <v>2125910.3699699999</v>
      </c>
      <c r="K100" s="3">
        <v>2052994</v>
      </c>
      <c r="L100" s="3">
        <v>1967483.2283899989</v>
      </c>
      <c r="M100" s="3">
        <v>1892958.2754700005</v>
      </c>
      <c r="N100" s="3">
        <v>1985163</v>
      </c>
      <c r="O100" s="3"/>
      <c r="P100" s="44">
        <f>P9</f>
        <v>3145283.6383599997</v>
      </c>
      <c r="Q100" s="3">
        <f>Q9</f>
        <v>2688974.8502000002</v>
      </c>
      <c r="R100" s="3">
        <f>R9</f>
        <v>3075524.8202</v>
      </c>
      <c r="S100" s="3">
        <v>2605544.12629</v>
      </c>
      <c r="T100" s="3">
        <v>2507807.1124900002</v>
      </c>
      <c r="U100" s="3">
        <v>2428112.0311200004</v>
      </c>
      <c r="V100" s="3">
        <v>2353115.6329399999</v>
      </c>
      <c r="W100" s="3">
        <v>2110841.7356900005</v>
      </c>
      <c r="X100" s="3">
        <v>2125910.3699699999</v>
      </c>
      <c r="Y100" s="3">
        <v>2052994</v>
      </c>
      <c r="Z100" s="3">
        <v>1967483.2283899989</v>
      </c>
      <c r="AA100" s="3">
        <v>1892958.2754700005</v>
      </c>
      <c r="AB100" s="3">
        <v>1985162.72951</v>
      </c>
    </row>
    <row r="101" spans="1:28" x14ac:dyDescent="0.25">
      <c r="A101" t="s">
        <v>37</v>
      </c>
      <c r="B101" s="44">
        <v>200000</v>
      </c>
      <c r="C101" s="3">
        <v>239000</v>
      </c>
      <c r="D101" s="3">
        <v>239000</v>
      </c>
      <c r="E101" s="3">
        <v>200000</v>
      </c>
      <c r="F101" s="3">
        <v>200000</v>
      </c>
      <c r="G101" s="3">
        <v>200000</v>
      </c>
      <c r="H101" s="3">
        <v>200000</v>
      </c>
      <c r="I101" s="3">
        <v>50000</v>
      </c>
      <c r="J101" s="3">
        <v>50000</v>
      </c>
      <c r="K101" s="3">
        <v>50000</v>
      </c>
      <c r="L101" s="3">
        <v>50000</v>
      </c>
      <c r="M101" s="3">
        <v>50000</v>
      </c>
      <c r="N101" s="3">
        <v>160000</v>
      </c>
      <c r="O101" s="3"/>
      <c r="P101" s="44">
        <v>200000</v>
      </c>
      <c r="Q101" s="3">
        <v>239000</v>
      </c>
      <c r="R101" s="3">
        <v>239000</v>
      </c>
      <c r="S101" s="3">
        <v>200000</v>
      </c>
      <c r="T101" s="3">
        <v>200000</v>
      </c>
      <c r="U101" s="3">
        <v>200000</v>
      </c>
      <c r="V101" s="3">
        <v>200000</v>
      </c>
      <c r="W101" s="3">
        <v>50000</v>
      </c>
      <c r="X101" s="3">
        <v>50000</v>
      </c>
      <c r="Y101" s="3">
        <v>50000</v>
      </c>
      <c r="Z101" s="3">
        <v>50000</v>
      </c>
      <c r="AA101" s="3">
        <v>50000</v>
      </c>
      <c r="AB101" s="3">
        <v>160000</v>
      </c>
    </row>
    <row r="102" spans="1:28" x14ac:dyDescent="0.25">
      <c r="A102" s="5" t="s">
        <v>38</v>
      </c>
      <c r="B102" s="44">
        <f t="shared" ref="B102" si="131">B100-B101</f>
        <v>2945283.6383599997</v>
      </c>
      <c r="C102" s="3">
        <f t="shared" ref="C102:D102" si="132">C100-C101</f>
        <v>2449974.8502000002</v>
      </c>
      <c r="D102" s="3">
        <f t="shared" si="132"/>
        <v>2836524.8202</v>
      </c>
      <c r="E102" s="3">
        <f>E100-E101</f>
        <v>2405544.12629</v>
      </c>
      <c r="F102" s="6">
        <f>F100-F101</f>
        <v>2307807.1124900002</v>
      </c>
      <c r="G102" s="6">
        <f t="shared" ref="G102:N102" si="133">G100-G101</f>
        <v>2228112.0311200004</v>
      </c>
      <c r="H102" s="6">
        <f t="shared" si="133"/>
        <v>2153115.6329399999</v>
      </c>
      <c r="I102" s="6">
        <f t="shared" si="133"/>
        <v>2060841.7356900005</v>
      </c>
      <c r="J102" s="6">
        <f t="shared" si="133"/>
        <v>2075910.3699699999</v>
      </c>
      <c r="K102" s="38">
        <f t="shared" si="133"/>
        <v>2002994</v>
      </c>
      <c r="L102" s="38">
        <f t="shared" si="133"/>
        <v>1917483.2283899989</v>
      </c>
      <c r="M102" s="38">
        <f t="shared" si="133"/>
        <v>1842958.2754700005</v>
      </c>
      <c r="N102" s="38">
        <f t="shared" si="133"/>
        <v>1825163</v>
      </c>
      <c r="O102" s="38"/>
      <c r="P102" s="44">
        <f t="shared" ref="P102" si="134">P100-P101</f>
        <v>2945283.6383599997</v>
      </c>
      <c r="Q102" s="3">
        <f t="shared" ref="Q102:R102" si="135">Q100-Q101</f>
        <v>2449974.8502000002</v>
      </c>
      <c r="R102" s="3">
        <f t="shared" si="135"/>
        <v>2836524.8202</v>
      </c>
      <c r="S102" s="6">
        <f>S100-S101</f>
        <v>2405544.12629</v>
      </c>
      <c r="T102" s="6">
        <f>T100-T101</f>
        <v>2307807.1124900002</v>
      </c>
      <c r="U102" s="6">
        <f t="shared" ref="U102:AB102" si="136">U100-U101</f>
        <v>2228112.0311200004</v>
      </c>
      <c r="V102" s="6">
        <f t="shared" si="136"/>
        <v>2153115.6329399999</v>
      </c>
      <c r="W102" s="6">
        <f t="shared" si="136"/>
        <v>2060841.7356900005</v>
      </c>
      <c r="X102" s="6">
        <f t="shared" si="136"/>
        <v>2075910.3699699999</v>
      </c>
      <c r="Y102" s="6">
        <f t="shared" si="136"/>
        <v>2002994</v>
      </c>
      <c r="Z102" s="6">
        <f t="shared" si="136"/>
        <v>1917483.2283899989</v>
      </c>
      <c r="AA102" s="6">
        <f t="shared" si="136"/>
        <v>1842958.2754700005</v>
      </c>
      <c r="AB102" s="6">
        <f t="shared" si="136"/>
        <v>1825162.72951</v>
      </c>
    </row>
    <row r="103" spans="1:28" x14ac:dyDescent="0.25">
      <c r="A103" s="5" t="s">
        <v>72</v>
      </c>
      <c r="B103" s="45">
        <v>69851730</v>
      </c>
      <c r="C103" s="8">
        <v>58619688</v>
      </c>
      <c r="D103" s="8">
        <v>69430498</v>
      </c>
      <c r="E103" s="8">
        <v>58619688</v>
      </c>
      <c r="F103" s="8">
        <v>58619688</v>
      </c>
      <c r="G103" s="8">
        <v>58619688</v>
      </c>
      <c r="H103" s="8">
        <v>58619688</v>
      </c>
      <c r="I103" s="8">
        <v>58619688</v>
      </c>
      <c r="J103" s="8">
        <v>58619688</v>
      </c>
      <c r="K103" s="8">
        <v>58619688</v>
      </c>
      <c r="L103" s="8">
        <v>58619688</v>
      </c>
      <c r="M103" s="8">
        <v>58619688</v>
      </c>
      <c r="N103" s="8">
        <v>58619688</v>
      </c>
      <c r="O103" s="38"/>
      <c r="P103" s="45">
        <v>69851730</v>
      </c>
      <c r="Q103" s="8">
        <v>58619688</v>
      </c>
      <c r="R103" s="8">
        <v>69430498</v>
      </c>
      <c r="S103" s="8">
        <v>58619688</v>
      </c>
      <c r="T103" s="8">
        <v>58619688</v>
      </c>
      <c r="U103" s="8">
        <v>58619688</v>
      </c>
      <c r="V103" s="8">
        <v>58619688</v>
      </c>
      <c r="W103" s="8">
        <v>58619688</v>
      </c>
      <c r="X103" s="8">
        <v>58619688</v>
      </c>
      <c r="Y103" s="8">
        <v>58619688</v>
      </c>
      <c r="Z103" s="8">
        <v>58619688</v>
      </c>
      <c r="AA103" s="8">
        <v>58619688</v>
      </c>
      <c r="AB103" s="8">
        <v>58619688</v>
      </c>
    </row>
    <row r="104" spans="1:28" x14ac:dyDescent="0.25">
      <c r="A104" s="7" t="s">
        <v>74</v>
      </c>
      <c r="B104" s="92">
        <f t="shared" ref="B104" si="137">1000*B102/B103</f>
        <v>42.164791600150771</v>
      </c>
      <c r="C104" s="43">
        <f t="shared" ref="C104:D104" si="138">1000*C102/C103</f>
        <v>41.794402764477361</v>
      </c>
      <c r="D104" s="43">
        <f t="shared" si="138"/>
        <v>40.854162103230195</v>
      </c>
      <c r="E104" s="43">
        <f>1000*E102/E103</f>
        <v>41.036453934896414</v>
      </c>
      <c r="F104" s="43">
        <f>1000*F102/F103</f>
        <v>39.369146974818428</v>
      </c>
      <c r="G104" s="43">
        <f t="shared" ref="G104:N104" si="139">1000*G102/G103</f>
        <v>38.009619415238106</v>
      </c>
      <c r="H104" s="43">
        <f t="shared" si="139"/>
        <v>36.730247232636245</v>
      </c>
      <c r="I104" s="43">
        <f t="shared" si="139"/>
        <v>35.156136206149725</v>
      </c>
      <c r="J104" s="43">
        <f t="shared" si="139"/>
        <v>35.413193771519218</v>
      </c>
      <c r="K104" s="43">
        <f t="shared" si="139"/>
        <v>34.169305029395588</v>
      </c>
      <c r="L104" s="43">
        <f t="shared" si="139"/>
        <v>32.710566941093219</v>
      </c>
      <c r="M104" s="43">
        <f t="shared" si="139"/>
        <v>31.439237197407131</v>
      </c>
      <c r="N104" s="43">
        <f t="shared" si="139"/>
        <v>31.135665546360464</v>
      </c>
      <c r="O104" s="86"/>
      <c r="P104" s="92">
        <f t="shared" ref="P104" si="140">1000*P102/P103</f>
        <v>42.164791600150771</v>
      </c>
      <c r="Q104" s="43">
        <f t="shared" ref="Q104:R104" si="141">1000*Q102/Q103</f>
        <v>41.794402764477361</v>
      </c>
      <c r="R104" s="43">
        <f t="shared" si="141"/>
        <v>40.854162103230195</v>
      </c>
      <c r="S104" s="43">
        <f>1000*S102/S103</f>
        <v>41.036453934896414</v>
      </c>
      <c r="T104" s="43">
        <f>1000*T102/T103</f>
        <v>39.369146974818428</v>
      </c>
      <c r="U104" s="43">
        <f t="shared" ref="U104" si="142">1000*U102/U103</f>
        <v>38.009619415238106</v>
      </c>
      <c r="V104" s="43">
        <f t="shared" ref="V104" si="143">1000*V102/V103</f>
        <v>36.730247232636245</v>
      </c>
      <c r="W104" s="43">
        <f t="shared" ref="W104:X104" si="144">1000*W102/W103</f>
        <v>35.156136206149725</v>
      </c>
      <c r="X104" s="43">
        <f t="shared" si="144"/>
        <v>35.413193771519218</v>
      </c>
      <c r="Y104" s="43">
        <f t="shared" ref="Y104:AB104" si="145">1000*Y102/Y103</f>
        <v>34.169305029395588</v>
      </c>
      <c r="Z104" s="43">
        <f t="shared" si="145"/>
        <v>32.710566941093219</v>
      </c>
      <c r="AA104" s="43">
        <f t="shared" si="145"/>
        <v>31.439237197407131</v>
      </c>
      <c r="AB104" s="43">
        <f t="shared" si="145"/>
        <v>31.135660932040444</v>
      </c>
    </row>
    <row r="106" spans="1:28" x14ac:dyDescent="0.25">
      <c r="A106" s="1" t="s">
        <v>18</v>
      </c>
      <c r="B106" s="1"/>
      <c r="C106" s="1"/>
      <c r="D106" s="1"/>
      <c r="E106" s="1"/>
    </row>
    <row r="107" spans="1:28" x14ac:dyDescent="0.25">
      <c r="A107" t="s">
        <v>75</v>
      </c>
      <c r="B107" s="58"/>
      <c r="C107" s="58"/>
      <c r="D107" s="58"/>
      <c r="E107" s="58"/>
      <c r="F107" s="12">
        <v>33.799999999999997</v>
      </c>
      <c r="G107" s="58"/>
      <c r="H107" s="58"/>
      <c r="I107" s="58"/>
      <c r="J107" s="12">
        <v>39.5</v>
      </c>
      <c r="K107" s="58"/>
      <c r="L107" s="58"/>
      <c r="M107" s="58"/>
      <c r="N107" s="12">
        <v>38.1</v>
      </c>
      <c r="O107" s="12"/>
      <c r="P107" s="48">
        <v>37.5</v>
      </c>
      <c r="Q107" s="12">
        <v>37</v>
      </c>
      <c r="R107" s="12">
        <v>37</v>
      </c>
      <c r="S107" s="12">
        <v>36</v>
      </c>
      <c r="T107" s="12">
        <v>33.799999999999997</v>
      </c>
      <c r="U107" s="12">
        <v>39.799999999999997</v>
      </c>
      <c r="V107" s="12">
        <v>38.4</v>
      </c>
      <c r="W107" s="12">
        <v>37</v>
      </c>
      <c r="X107" s="12">
        <v>39.5</v>
      </c>
      <c r="Y107" s="12">
        <v>36.1</v>
      </c>
      <c r="Z107" s="12">
        <v>35.799999999999997</v>
      </c>
      <c r="AA107" s="12">
        <v>37.799999999999997</v>
      </c>
      <c r="AB107" s="12">
        <v>38.1</v>
      </c>
    </row>
    <row r="108" spans="1:28" x14ac:dyDescent="0.25">
      <c r="A108" t="s">
        <v>76</v>
      </c>
      <c r="B108" s="63"/>
      <c r="C108" s="63"/>
      <c r="D108" s="63"/>
      <c r="E108" s="63"/>
      <c r="F108" s="12">
        <f>F97</f>
        <v>5.5518931433070717</v>
      </c>
      <c r="G108" s="58"/>
      <c r="H108" s="58"/>
      <c r="I108" s="58"/>
      <c r="J108" s="12">
        <f>J97</f>
        <v>5.2753806979064821</v>
      </c>
      <c r="K108" s="58"/>
      <c r="L108" s="58"/>
      <c r="M108" s="58"/>
      <c r="N108" s="48">
        <v>4.08</v>
      </c>
      <c r="O108" s="48"/>
      <c r="P108" s="48">
        <f t="shared" ref="P108:R108" si="146">P97</f>
        <v>1.3381164646888488</v>
      </c>
      <c r="Q108" s="12">
        <f t="shared" si="146"/>
        <v>1.4547807347166362</v>
      </c>
      <c r="R108" s="12">
        <f t="shared" si="146"/>
        <v>1.2282612862362008</v>
      </c>
      <c r="S108" s="12">
        <v>1.67</v>
      </c>
      <c r="T108" s="12">
        <f>T97</f>
        <v>1.3583419357759068</v>
      </c>
      <c r="U108" s="12">
        <f t="shared" ref="U108:AA108" si="147">U97</f>
        <v>1.2767528739235205</v>
      </c>
      <c r="V108" s="12">
        <f t="shared" si="147"/>
        <v>1.5730428534522385</v>
      </c>
      <c r="W108" s="12">
        <f t="shared" si="147"/>
        <v>1.343755480155405</v>
      </c>
      <c r="X108" s="12">
        <f t="shared" si="147"/>
        <v>1.2421066001750181</v>
      </c>
      <c r="Y108" s="12">
        <f t="shared" si="147"/>
        <v>1.4589040460263112</v>
      </c>
      <c r="Z108" s="12">
        <f t="shared" si="147"/>
        <v>1.2712752169970618</v>
      </c>
      <c r="AA108" s="12">
        <f t="shared" si="147"/>
        <v>1.3030979224505603</v>
      </c>
      <c r="AB108" s="47">
        <v>1.1100000000000001</v>
      </c>
    </row>
    <row r="109" spans="1:28" x14ac:dyDescent="0.25">
      <c r="A109" s="7" t="s">
        <v>18</v>
      </c>
      <c r="B109" s="64"/>
      <c r="C109" s="64"/>
      <c r="D109" s="64"/>
      <c r="E109" s="64"/>
      <c r="F109" s="17">
        <f>F107/F108</f>
        <v>6.0880134266897112</v>
      </c>
      <c r="G109" s="64"/>
      <c r="H109" s="64"/>
      <c r="I109" s="64"/>
      <c r="J109" s="17">
        <f>J107/J108</f>
        <v>7.4876112762203961</v>
      </c>
      <c r="K109" s="64"/>
      <c r="L109" s="64"/>
      <c r="M109" s="64"/>
      <c r="N109" s="43">
        <f>N107/N108</f>
        <v>9.3382352941176467</v>
      </c>
      <c r="O109" s="86"/>
      <c r="P109" s="43">
        <f t="shared" ref="P109:Y109" si="148">P107/P108/4</f>
        <v>7.0061166179432384</v>
      </c>
      <c r="Q109" s="43">
        <f t="shared" si="148"/>
        <v>6.3583465049128005</v>
      </c>
      <c r="R109" s="43">
        <f t="shared" si="148"/>
        <v>7.5309708965468269</v>
      </c>
      <c r="S109" s="43">
        <f t="shared" si="148"/>
        <v>5.3892215568862278</v>
      </c>
      <c r="T109" s="43">
        <f t="shared" si="148"/>
        <v>6.2208194987171792</v>
      </c>
      <c r="U109" s="43">
        <f t="shared" si="148"/>
        <v>7.7932074430529301</v>
      </c>
      <c r="V109" s="43">
        <f t="shared" si="148"/>
        <v>6.102821661171915</v>
      </c>
      <c r="W109" s="43">
        <f t="shared" si="148"/>
        <v>6.8836928567764719</v>
      </c>
      <c r="X109" s="80">
        <f t="shared" si="148"/>
        <v>7.9502033067118161</v>
      </c>
      <c r="Y109" s="43">
        <f t="shared" si="148"/>
        <v>6.1861505042650595</v>
      </c>
      <c r="Z109" s="43">
        <f t="shared" ref="Z109:AA109" si="149">Z107/Z108/4</f>
        <v>7.0401749993531766</v>
      </c>
      <c r="AA109" s="43">
        <f t="shared" si="149"/>
        <v>7.2519492489318536</v>
      </c>
      <c r="AB109" s="43">
        <f>AB107/AB108/4</f>
        <v>8.5810810810810807</v>
      </c>
    </row>
    <row r="111" spans="1:28" x14ac:dyDescent="0.25">
      <c r="A111" s="1" t="s">
        <v>19</v>
      </c>
      <c r="B111" s="1"/>
      <c r="C111" s="1"/>
      <c r="D111" s="1"/>
      <c r="E111" s="1"/>
    </row>
    <row r="112" spans="1:28" x14ac:dyDescent="0.25">
      <c r="A112" t="s">
        <v>75</v>
      </c>
      <c r="B112" s="48">
        <v>37.5</v>
      </c>
      <c r="C112" s="42">
        <v>37</v>
      </c>
      <c r="D112" s="42">
        <v>37</v>
      </c>
      <c r="E112" s="12">
        <v>36</v>
      </c>
      <c r="F112" s="12">
        <v>33.799999999999997</v>
      </c>
      <c r="G112" s="12">
        <v>39.799999999999997</v>
      </c>
      <c r="H112" s="12">
        <v>38.4</v>
      </c>
      <c r="I112" s="12">
        <v>37</v>
      </c>
      <c r="J112" s="12">
        <v>39.5</v>
      </c>
      <c r="K112" s="12">
        <v>36.1</v>
      </c>
      <c r="L112" s="12">
        <v>35.799999999999997</v>
      </c>
      <c r="M112" s="12">
        <v>37.799999999999997</v>
      </c>
      <c r="N112" s="12">
        <v>38.1</v>
      </c>
      <c r="O112" s="12"/>
      <c r="P112" s="48">
        <v>37.5</v>
      </c>
      <c r="Q112" s="12">
        <v>37</v>
      </c>
      <c r="R112" s="12">
        <v>37</v>
      </c>
      <c r="S112" s="12">
        <v>36</v>
      </c>
      <c r="T112" s="12">
        <v>33.799999999999997</v>
      </c>
      <c r="U112" s="12">
        <v>39.799999999999997</v>
      </c>
      <c r="V112" s="12">
        <v>38.4</v>
      </c>
      <c r="W112" s="12">
        <v>37</v>
      </c>
      <c r="X112" s="12">
        <v>39.5</v>
      </c>
      <c r="Y112" s="12">
        <v>36.1</v>
      </c>
      <c r="Z112" s="12">
        <v>35.799999999999997</v>
      </c>
      <c r="AA112" s="12">
        <v>37.799999999999997</v>
      </c>
      <c r="AB112" s="42">
        <v>38.1</v>
      </c>
    </row>
    <row r="113" spans="1:28" x14ac:dyDescent="0.25">
      <c r="A113" s="5" t="s">
        <v>74</v>
      </c>
      <c r="B113" s="90">
        <f>B104</f>
        <v>42.164791600150771</v>
      </c>
      <c r="C113" s="18">
        <f>C104</f>
        <v>41.794402764477361</v>
      </c>
      <c r="D113" s="18">
        <f>D104</f>
        <v>40.854162103230195</v>
      </c>
      <c r="E113" s="18">
        <f>E104</f>
        <v>41.036453934896414</v>
      </c>
      <c r="F113" s="18">
        <f>F104</f>
        <v>39.369146974818428</v>
      </c>
      <c r="G113" s="18">
        <f t="shared" ref="G113:AB113" si="150">G104</f>
        <v>38.009619415238106</v>
      </c>
      <c r="H113" s="18">
        <f t="shared" si="150"/>
        <v>36.730247232636245</v>
      </c>
      <c r="I113" s="18">
        <f t="shared" si="150"/>
        <v>35.156136206149725</v>
      </c>
      <c r="J113" s="18">
        <f t="shared" si="150"/>
        <v>35.413193771519218</v>
      </c>
      <c r="K113" s="40">
        <v>34.17</v>
      </c>
      <c r="L113" s="40">
        <v>32.71</v>
      </c>
      <c r="M113" s="40">
        <v>31.44</v>
      </c>
      <c r="N113" s="40">
        <v>31.14</v>
      </c>
      <c r="O113" s="40"/>
      <c r="P113" s="48">
        <f t="shared" ref="P113" si="151">P104</f>
        <v>42.164791600150771</v>
      </c>
      <c r="Q113" s="12">
        <f t="shared" si="150"/>
        <v>41.794402764477361</v>
      </c>
      <c r="R113" s="12">
        <f t="shared" si="150"/>
        <v>40.854162103230195</v>
      </c>
      <c r="S113" s="12">
        <f t="shared" si="150"/>
        <v>41.036453934896414</v>
      </c>
      <c r="T113" s="18">
        <f t="shared" si="150"/>
        <v>39.369146974818428</v>
      </c>
      <c r="U113" s="18">
        <f t="shared" si="150"/>
        <v>38.009619415238106</v>
      </c>
      <c r="V113" s="18">
        <f t="shared" si="150"/>
        <v>36.730247232636245</v>
      </c>
      <c r="W113" s="18">
        <f t="shared" si="150"/>
        <v>35.156136206149725</v>
      </c>
      <c r="X113" s="18">
        <f t="shared" si="150"/>
        <v>35.413193771519218</v>
      </c>
      <c r="Y113" s="18">
        <f t="shared" si="150"/>
        <v>34.169305029395588</v>
      </c>
      <c r="Z113" s="18">
        <f t="shared" si="150"/>
        <v>32.710566941093219</v>
      </c>
      <c r="AA113" s="18">
        <f t="shared" si="150"/>
        <v>31.439237197407131</v>
      </c>
      <c r="AB113" s="18">
        <f t="shared" si="150"/>
        <v>31.135660932040444</v>
      </c>
    </row>
    <row r="114" spans="1:28" x14ac:dyDescent="0.25">
      <c r="A114" s="7" t="s">
        <v>19</v>
      </c>
      <c r="B114" s="43">
        <f>B112/B113</f>
        <v>0.88936761162281919</v>
      </c>
      <c r="C114" s="43">
        <f>C112/C113</f>
        <v>0.88528600847594108</v>
      </c>
      <c r="D114" s="43">
        <f>D112/D113</f>
        <v>0.90566047852134357</v>
      </c>
      <c r="E114" s="43">
        <f>E112/E113</f>
        <v>0.87726878294877386</v>
      </c>
      <c r="F114" s="17">
        <f>F112/F113</f>
        <v>0.85854031893602856</v>
      </c>
      <c r="G114" s="17">
        <f t="shared" ref="G114:AA114" si="152">G112/G113</f>
        <v>1.047103354685107</v>
      </c>
      <c r="H114" s="17">
        <f t="shared" si="152"/>
        <v>1.0454598836971649</v>
      </c>
      <c r="I114" s="17">
        <f t="shared" si="152"/>
        <v>1.0524478510106505</v>
      </c>
      <c r="J114" s="43">
        <f t="shared" si="152"/>
        <v>1.1154034921235363</v>
      </c>
      <c r="K114" s="43">
        <f t="shared" si="152"/>
        <v>1.0564822944103014</v>
      </c>
      <c r="L114" s="43">
        <f t="shared" si="152"/>
        <v>1.094466523998777</v>
      </c>
      <c r="M114" s="43">
        <f t="shared" si="152"/>
        <v>1.2022900763358777</v>
      </c>
      <c r="N114" s="43">
        <f t="shared" si="152"/>
        <v>1.2235067437379576</v>
      </c>
      <c r="O114" s="86"/>
      <c r="P114" s="43">
        <f t="shared" ref="P114" si="153">P112/P113</f>
        <v>0.88936761162281919</v>
      </c>
      <c r="Q114" s="43">
        <f t="shared" si="152"/>
        <v>0.88528600847594108</v>
      </c>
      <c r="R114" s="43">
        <f t="shared" si="152"/>
        <v>0.90566047852134357</v>
      </c>
      <c r="S114" s="43">
        <f t="shared" si="152"/>
        <v>0.87726878294877386</v>
      </c>
      <c r="T114" s="43">
        <f t="shared" si="152"/>
        <v>0.85854031893602856</v>
      </c>
      <c r="U114" s="43">
        <f t="shared" si="152"/>
        <v>1.047103354685107</v>
      </c>
      <c r="V114" s="43">
        <f t="shared" si="152"/>
        <v>1.0454598836971649</v>
      </c>
      <c r="W114" s="43">
        <f t="shared" si="152"/>
        <v>1.0524478510106505</v>
      </c>
      <c r="X114" s="43">
        <f t="shared" si="152"/>
        <v>1.1154034921235363</v>
      </c>
      <c r="Y114" s="43">
        <f t="shared" si="152"/>
        <v>1.0565037822379897</v>
      </c>
      <c r="Z114" s="43">
        <f t="shared" si="152"/>
        <v>1.094447554653222</v>
      </c>
      <c r="AA114" s="43">
        <f t="shared" si="152"/>
        <v>1.2023192472086268</v>
      </c>
      <c r="AB114" s="43">
        <f t="shared" ref="AB114" si="154">AB112/AB113</f>
        <v>1.2236772517262622</v>
      </c>
    </row>
    <row r="116" spans="1:28" x14ac:dyDescent="0.25">
      <c r="A116" s="1" t="s">
        <v>3</v>
      </c>
      <c r="B116" s="1"/>
      <c r="C116" s="1"/>
      <c r="D116" s="1"/>
      <c r="E116" s="1"/>
    </row>
    <row r="117" spans="1:28" x14ac:dyDescent="0.25">
      <c r="A117" t="s">
        <v>77</v>
      </c>
      <c r="B117" s="54"/>
      <c r="C117" s="54"/>
      <c r="D117" s="54"/>
      <c r="E117" s="54"/>
      <c r="F117" s="12">
        <v>0.7</v>
      </c>
      <c r="G117" s="58"/>
      <c r="H117" s="58"/>
      <c r="I117" s="58"/>
      <c r="J117" s="12">
        <v>1.6</v>
      </c>
      <c r="K117" s="58"/>
      <c r="L117" s="58"/>
      <c r="M117" s="58"/>
      <c r="N117" s="12">
        <v>0</v>
      </c>
      <c r="O117" s="12"/>
      <c r="P117" s="58"/>
      <c r="Q117" s="53"/>
      <c r="R117" s="53"/>
      <c r="S117" s="53"/>
      <c r="T117" s="53"/>
      <c r="U117" s="53"/>
      <c r="V117" s="53"/>
      <c r="W117" s="53"/>
      <c r="X117" s="53"/>
      <c r="Y117" s="53"/>
      <c r="Z117" s="53"/>
      <c r="AA117" s="53"/>
      <c r="AB117" s="53"/>
    </row>
    <row r="118" spans="1:28" x14ac:dyDescent="0.25">
      <c r="A118" t="s">
        <v>78</v>
      </c>
      <c r="B118" s="53"/>
      <c r="C118" s="53"/>
      <c r="D118" s="53"/>
      <c r="E118" s="53"/>
      <c r="F118" s="3">
        <v>58619688</v>
      </c>
      <c r="G118" s="53"/>
      <c r="H118" s="53"/>
      <c r="I118" s="53"/>
      <c r="J118" s="3">
        <v>58619688</v>
      </c>
      <c r="K118" s="53"/>
      <c r="L118" s="53"/>
      <c r="M118" s="53"/>
      <c r="N118" s="3">
        <v>58619688</v>
      </c>
      <c r="O118" s="3"/>
      <c r="P118" s="53"/>
      <c r="Q118" s="53"/>
      <c r="R118" s="53"/>
      <c r="S118" s="53"/>
      <c r="T118" s="53"/>
      <c r="U118" s="53"/>
      <c r="V118" s="53"/>
      <c r="W118" s="53"/>
      <c r="X118" s="53"/>
      <c r="Y118" s="53"/>
      <c r="Z118" s="53"/>
      <c r="AA118" s="53"/>
      <c r="AB118" s="53"/>
    </row>
    <row r="119" spans="1:28" x14ac:dyDescent="0.25">
      <c r="A119" t="s">
        <v>79</v>
      </c>
      <c r="B119" s="54"/>
      <c r="C119" s="54"/>
      <c r="D119" s="54"/>
      <c r="E119" s="54"/>
      <c r="F119" s="3">
        <f>F117*F118/1000</f>
        <v>41033.781599999995</v>
      </c>
      <c r="G119" s="53"/>
      <c r="H119" s="53"/>
      <c r="I119" s="53"/>
      <c r="J119" s="3">
        <f>J117*J118/1000</f>
        <v>93791.500800000009</v>
      </c>
      <c r="K119" s="53"/>
      <c r="L119" s="53"/>
      <c r="M119" s="53"/>
      <c r="N119" s="3">
        <f t="shared" ref="N119" si="155">N117*N118/1000</f>
        <v>0</v>
      </c>
      <c r="O119" s="3"/>
      <c r="P119" s="53"/>
      <c r="Q119" s="54"/>
      <c r="R119" s="54"/>
      <c r="S119" s="54"/>
      <c r="T119" s="54"/>
      <c r="U119" s="54"/>
      <c r="V119" s="54"/>
      <c r="W119" s="54"/>
      <c r="X119" s="54"/>
      <c r="Y119" s="54"/>
      <c r="Z119" s="54"/>
      <c r="AA119" s="54"/>
      <c r="AB119" s="54"/>
    </row>
    <row r="120" spans="1:28" x14ac:dyDescent="0.25">
      <c r="A120" s="5" t="s">
        <v>35</v>
      </c>
      <c r="B120" s="61"/>
      <c r="C120" s="61"/>
      <c r="D120" s="61"/>
      <c r="E120" s="61"/>
      <c r="F120" s="6">
        <f>F8</f>
        <v>325450.24386999983</v>
      </c>
      <c r="G120" s="61"/>
      <c r="H120" s="61"/>
      <c r="I120" s="61"/>
      <c r="J120" s="6">
        <f>J8</f>
        <v>309241.17059250019</v>
      </c>
      <c r="K120" s="59"/>
      <c r="L120" s="59"/>
      <c r="M120" s="59"/>
      <c r="N120" s="38">
        <f t="shared" ref="N120" si="156">N8</f>
        <v>239133.66</v>
      </c>
      <c r="O120" s="38"/>
      <c r="P120" s="59"/>
      <c r="Q120" s="55"/>
      <c r="R120" s="55"/>
      <c r="S120" s="55"/>
      <c r="T120" s="55"/>
      <c r="U120" s="55"/>
      <c r="V120" s="55"/>
      <c r="W120" s="55"/>
      <c r="X120" s="55"/>
      <c r="Y120" s="55"/>
      <c r="Z120" s="55"/>
      <c r="AA120" s="55"/>
      <c r="AB120" s="55"/>
    </row>
    <row r="121" spans="1:28" x14ac:dyDescent="0.25">
      <c r="A121" s="7" t="s">
        <v>3</v>
      </c>
      <c r="B121" s="62"/>
      <c r="C121" s="62"/>
      <c r="D121" s="62"/>
      <c r="E121" s="62"/>
      <c r="F121" s="9">
        <f>F119/F120</f>
        <v>0.12608311830422478</v>
      </c>
      <c r="G121" s="60"/>
      <c r="H121" s="60"/>
      <c r="I121" s="60"/>
      <c r="J121" s="9">
        <f>J119/J120</f>
        <v>0.30329564663171232</v>
      </c>
      <c r="K121" s="60"/>
      <c r="L121" s="60"/>
      <c r="M121" s="60"/>
      <c r="N121" s="9">
        <f t="shared" ref="N121" si="157">N119/N120</f>
        <v>0</v>
      </c>
      <c r="O121" s="39"/>
      <c r="P121" s="56"/>
      <c r="Q121" s="56"/>
      <c r="R121" s="56"/>
      <c r="S121" s="56"/>
      <c r="T121" s="56"/>
      <c r="U121" s="57"/>
      <c r="V121" s="57"/>
      <c r="W121" s="57"/>
      <c r="X121" s="56"/>
      <c r="Y121" s="57"/>
      <c r="Z121" s="57"/>
      <c r="AA121" s="57"/>
      <c r="AB121" s="56"/>
    </row>
    <row r="123" spans="1:28" x14ac:dyDescent="0.25">
      <c r="A123" s="1" t="s">
        <v>21</v>
      </c>
      <c r="B123" s="1"/>
      <c r="C123" s="1"/>
      <c r="D123" s="1"/>
      <c r="E123" s="1"/>
    </row>
    <row r="124" spans="1:28" x14ac:dyDescent="0.25">
      <c r="A124" t="s">
        <v>36</v>
      </c>
      <c r="B124" s="44">
        <f>B9</f>
        <v>3145283.6383599997</v>
      </c>
      <c r="C124" s="27">
        <f>C9</f>
        <v>2688974.8502000002</v>
      </c>
      <c r="D124" s="3">
        <f>D9</f>
        <v>3075524.8202</v>
      </c>
      <c r="E124" s="3">
        <v>2605544.12629</v>
      </c>
      <c r="F124" s="3">
        <v>2507807.1124900002</v>
      </c>
      <c r="G124" s="3">
        <v>2428112.0311200004</v>
      </c>
      <c r="H124" s="3">
        <v>2353115.6329399999</v>
      </c>
      <c r="I124" s="3">
        <v>2110841.7356900005</v>
      </c>
      <c r="J124" s="3">
        <v>2125910.3699699999</v>
      </c>
      <c r="K124" s="3">
        <v>2052994</v>
      </c>
      <c r="L124" s="3">
        <v>1967483.2283899989</v>
      </c>
      <c r="M124" s="3">
        <v>1892958.2754700005</v>
      </c>
      <c r="N124" s="3">
        <v>1985163</v>
      </c>
      <c r="O124" s="3"/>
      <c r="P124" s="44">
        <f>P9</f>
        <v>3145283.6383599997</v>
      </c>
      <c r="Q124" s="3">
        <f>Q9</f>
        <v>2688974.8502000002</v>
      </c>
      <c r="R124" s="3">
        <f>R9</f>
        <v>3075524.8202</v>
      </c>
      <c r="S124" s="3">
        <v>2605544.12629</v>
      </c>
      <c r="T124" s="3">
        <v>2507807.1124900002</v>
      </c>
      <c r="U124" s="3">
        <v>2428112.0311200004</v>
      </c>
      <c r="V124" s="3">
        <v>2353115.6329399999</v>
      </c>
      <c r="W124" s="3">
        <v>2110841.7356900005</v>
      </c>
      <c r="X124" s="3">
        <v>2125910.3699699999</v>
      </c>
      <c r="Y124" s="3">
        <v>2052994</v>
      </c>
      <c r="Z124" s="3">
        <v>1967483.2283899989</v>
      </c>
      <c r="AA124" s="3">
        <v>1892958.2754700005</v>
      </c>
      <c r="AB124" s="3">
        <v>1985162.72951</v>
      </c>
    </row>
    <row r="125" spans="1:28" x14ac:dyDescent="0.25">
      <c r="A125" s="5" t="s">
        <v>80</v>
      </c>
      <c r="B125" s="44">
        <v>17762429.778930005</v>
      </c>
      <c r="C125" s="3">
        <f>D125-386549.97</f>
        <v>18048841.817290004</v>
      </c>
      <c r="D125" s="3">
        <v>18435391.787290003</v>
      </c>
      <c r="E125" s="3">
        <v>16918822.948449999</v>
      </c>
      <c r="F125" s="6">
        <v>15606951.61939</v>
      </c>
      <c r="G125" s="6">
        <v>16319439.15601</v>
      </c>
      <c r="H125" s="6">
        <v>15752985.544190003</v>
      </c>
      <c r="I125" s="6">
        <v>13433547.226489997</v>
      </c>
      <c r="J125" s="6">
        <v>13103969.460619999</v>
      </c>
      <c r="K125" s="38">
        <v>13474796</v>
      </c>
      <c r="L125" s="38">
        <v>13309719.13446</v>
      </c>
      <c r="M125" s="38">
        <v>14050898.038040001</v>
      </c>
      <c r="N125" s="38">
        <v>12940761</v>
      </c>
      <c r="O125" s="38"/>
      <c r="P125" s="44">
        <v>17762429.778930005</v>
      </c>
      <c r="Q125" s="27">
        <f>R125-386549.97</f>
        <v>18048841.817290004</v>
      </c>
      <c r="R125" s="3">
        <v>18435391.787290003</v>
      </c>
      <c r="S125" s="3">
        <v>16918822.948449999</v>
      </c>
      <c r="T125" s="6">
        <v>15606951.61939</v>
      </c>
      <c r="U125" s="6">
        <v>16319439.15601</v>
      </c>
      <c r="V125" s="6">
        <v>15752985.544190003</v>
      </c>
      <c r="W125" s="6">
        <v>13433547.226489997</v>
      </c>
      <c r="X125" s="6">
        <v>13103969.460619999</v>
      </c>
      <c r="Y125" s="41">
        <v>13474796</v>
      </c>
      <c r="Z125" s="41">
        <v>13309719.13446</v>
      </c>
      <c r="AA125" s="41">
        <v>14050898.038040001</v>
      </c>
      <c r="AB125" s="41">
        <v>12940761.345379999</v>
      </c>
    </row>
    <row r="126" spans="1:28" x14ac:dyDescent="0.25">
      <c r="A126" s="7" t="s">
        <v>21</v>
      </c>
      <c r="B126" s="50">
        <f t="shared" ref="B126" si="158">B124/B125</f>
        <v>0.17707507798797723</v>
      </c>
      <c r="C126" s="9">
        <f t="shared" ref="C126:D126" si="159">C124/C125</f>
        <v>0.14898323545747291</v>
      </c>
      <c r="D126" s="9">
        <f t="shared" si="159"/>
        <v>0.16682720148754165</v>
      </c>
      <c r="E126" s="9">
        <f>E124/E125</f>
        <v>0.1540026829424741</v>
      </c>
      <c r="F126" s="9">
        <f>F124/F125</f>
        <v>0.16068526216063314</v>
      </c>
      <c r="G126" s="9">
        <f t="shared" ref="G126:AB126" si="160">G124/G125</f>
        <v>0.14878648756907761</v>
      </c>
      <c r="H126" s="9">
        <f t="shared" si="160"/>
        <v>0.14937585172912657</v>
      </c>
      <c r="I126" s="9">
        <f t="shared" si="160"/>
        <v>0.15713211857606538</v>
      </c>
      <c r="J126" s="50">
        <f t="shared" si="160"/>
        <v>0.16223407543483506</v>
      </c>
      <c r="K126" s="50">
        <f t="shared" si="160"/>
        <v>0.15235807651559252</v>
      </c>
      <c r="L126" s="50">
        <f t="shared" si="160"/>
        <v>0.14782304634032559</v>
      </c>
      <c r="M126" s="50">
        <f t="shared" si="160"/>
        <v>0.1347215153326993</v>
      </c>
      <c r="N126" s="50">
        <f t="shared" si="160"/>
        <v>0.15340388405287758</v>
      </c>
      <c r="O126" s="81"/>
      <c r="P126" s="50">
        <f t="shared" ref="P126" si="161">P124/P125</f>
        <v>0.17707507798797723</v>
      </c>
      <c r="Q126" s="50">
        <f t="shared" si="160"/>
        <v>0.14898323545747291</v>
      </c>
      <c r="R126" s="50">
        <f t="shared" si="160"/>
        <v>0.16682720148754165</v>
      </c>
      <c r="S126" s="50">
        <f t="shared" si="160"/>
        <v>0.1540026829424741</v>
      </c>
      <c r="T126" s="50">
        <f t="shared" si="160"/>
        <v>0.16068526216063314</v>
      </c>
      <c r="U126" s="50">
        <f t="shared" si="160"/>
        <v>0.14878648756907761</v>
      </c>
      <c r="V126" s="50">
        <f t="shared" si="160"/>
        <v>0.14937585172912657</v>
      </c>
      <c r="W126" s="50">
        <f t="shared" si="160"/>
        <v>0.15713211857606538</v>
      </c>
      <c r="X126" s="50">
        <f t="shared" si="160"/>
        <v>0.16223407543483506</v>
      </c>
      <c r="Y126" s="50">
        <f t="shared" si="160"/>
        <v>0.15235807651559252</v>
      </c>
      <c r="Z126" s="50">
        <f t="shared" si="160"/>
        <v>0.14782304634032559</v>
      </c>
      <c r="AA126" s="50">
        <f t="shared" si="160"/>
        <v>0.1347215153326993</v>
      </c>
      <c r="AB126" s="50">
        <f t="shared" si="160"/>
        <v>0.15340385905646317</v>
      </c>
    </row>
    <row r="131" spans="1:5" x14ac:dyDescent="0.25">
      <c r="A131" s="29" t="s">
        <v>98</v>
      </c>
      <c r="B131" s="29"/>
      <c r="C131" s="29"/>
      <c r="D131" s="29"/>
      <c r="E131" s="29"/>
    </row>
    <row r="132" spans="1:5" x14ac:dyDescent="0.25">
      <c r="A132" t="s">
        <v>100</v>
      </c>
    </row>
    <row r="133" spans="1:5" x14ac:dyDescent="0.25">
      <c r="A133" t="s">
        <v>144</v>
      </c>
    </row>
    <row r="157" spans="1:4" x14ac:dyDescent="0.25">
      <c r="A157" s="4"/>
      <c r="C157" s="4"/>
      <c r="D157" s="4"/>
    </row>
  </sheetData>
  <mergeCells count="2">
    <mergeCell ref="C2:D2"/>
    <mergeCell ref="Q2:R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APM</vt:lpstr>
      <vt:lpstr>APM avstemming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Erling Mork</dc:creator>
  <cp:lastModifiedBy>Caroline Sem</cp:lastModifiedBy>
  <dcterms:created xsi:type="dcterms:W3CDTF">2019-02-12T14:22:06Z</dcterms:created>
  <dcterms:modified xsi:type="dcterms:W3CDTF">2019-10-24T05:11:03Z</dcterms:modified>
</cp:coreProperties>
</file>